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E:\ноут\ЦЭК\2021\Раскрытие инормации\"/>
    </mc:Choice>
  </mc:AlternateContent>
  <xr:revisionPtr revIDLastSave="0" documentId="13_ncr:1_{F5EB5568-54D9-4C92-8746-19839CFA2DF9}" xr6:coauthVersionLast="43" xr6:coauthVersionMax="43" xr10:uidLastSave="{00000000-0000-0000-0000-000000000000}"/>
  <bookViews>
    <workbookView xWindow="1515" yWindow="1515" windowWidth="21600" windowHeight="11385" activeTab="1" xr2:uid="{00000000-000D-0000-FFFF-FFFF00000000}"/>
  </bookViews>
  <sheets>
    <sheet name="Баланс ЭЭ 2019 " sheetId="1" r:id="rId1"/>
    <sheet name="Баланс ЭЭ  2020" sheetId="3" r:id="rId2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6" i="3" l="1"/>
  <c r="O15" i="3"/>
  <c r="Q15" i="3"/>
  <c r="R21" i="3"/>
  <c r="Q21" i="3"/>
  <c r="R17" i="3"/>
  <c r="Q17" i="3"/>
  <c r="O13" i="3"/>
  <c r="M25" i="3"/>
  <c r="L16" i="3"/>
  <c r="J13" i="3"/>
  <c r="M17" i="3" l="1"/>
  <c r="I17" i="3" s="1"/>
  <c r="L21" i="3"/>
  <c r="L20" i="3"/>
  <c r="L17" i="3"/>
  <c r="G17" i="3" s="1"/>
  <c r="N15" i="3"/>
  <c r="J15" i="3"/>
  <c r="I15" i="3" s="1"/>
  <c r="N23" i="3"/>
  <c r="I23" i="3"/>
  <c r="D23" i="3" s="1"/>
  <c r="H23" i="3"/>
  <c r="G23" i="3"/>
  <c r="F23" i="3"/>
  <c r="E23" i="3"/>
  <c r="N22" i="3"/>
  <c r="I22" i="3"/>
  <c r="D22" i="3" s="1"/>
  <c r="H22" i="3"/>
  <c r="G22" i="3"/>
  <c r="F22" i="3"/>
  <c r="E22" i="3"/>
  <c r="N21" i="3"/>
  <c r="G21" i="3"/>
  <c r="F21" i="3"/>
  <c r="E21" i="3"/>
  <c r="R20" i="3"/>
  <c r="Q20" i="3"/>
  <c r="P20" i="3"/>
  <c r="O20" i="3"/>
  <c r="K20" i="3"/>
  <c r="F20" i="3" s="1"/>
  <c r="J20" i="3"/>
  <c r="E20" i="3" s="1"/>
  <c r="N19" i="3"/>
  <c r="I19" i="3"/>
  <c r="D19" i="3" s="1"/>
  <c r="H19" i="3"/>
  <c r="G19" i="3"/>
  <c r="F19" i="3"/>
  <c r="E19" i="3"/>
  <c r="N17" i="3"/>
  <c r="H17" i="3"/>
  <c r="F17" i="3"/>
  <c r="E17" i="3"/>
  <c r="N16" i="3"/>
  <c r="I16" i="3"/>
  <c r="H16" i="3"/>
  <c r="G16" i="3"/>
  <c r="F16" i="3"/>
  <c r="E16" i="3"/>
  <c r="H15" i="3"/>
  <c r="G15" i="3"/>
  <c r="F15" i="3"/>
  <c r="N14" i="3"/>
  <c r="I14" i="3"/>
  <c r="H14" i="3"/>
  <c r="G14" i="3"/>
  <c r="F14" i="3"/>
  <c r="E14" i="3"/>
  <c r="N13" i="3"/>
  <c r="I13" i="3"/>
  <c r="D13" i="3" s="1"/>
  <c r="H13" i="3"/>
  <c r="G13" i="3"/>
  <c r="F13" i="3"/>
  <c r="E13" i="3"/>
  <c r="H11" i="3"/>
  <c r="H10" i="3"/>
  <c r="F10" i="3"/>
  <c r="P8" i="3"/>
  <c r="P7" i="3" s="1"/>
  <c r="Q11" i="3" s="1"/>
  <c r="K8" i="3"/>
  <c r="F8" i="3" s="1"/>
  <c r="O7" i="3"/>
  <c r="Q10" i="3" s="1"/>
  <c r="K7" i="3"/>
  <c r="J7" i="3"/>
  <c r="J18" i="3" s="1"/>
  <c r="N1" i="3"/>
  <c r="N17" i="1"/>
  <c r="Q8" i="3" l="1"/>
  <c r="Q7" i="3" s="1"/>
  <c r="N7" i="3"/>
  <c r="D16" i="3"/>
  <c r="N20" i="3"/>
  <c r="G20" i="3"/>
  <c r="D17" i="3"/>
  <c r="E15" i="3"/>
  <c r="O24" i="3"/>
  <c r="D15" i="3"/>
  <c r="I7" i="3"/>
  <c r="I18" i="3" s="1"/>
  <c r="R12" i="3"/>
  <c r="R8" i="3" s="1"/>
  <c r="R7" i="3" s="1"/>
  <c r="Q18" i="3"/>
  <c r="F18" i="3"/>
  <c r="N18" i="3"/>
  <c r="F7" i="3"/>
  <c r="K18" i="3"/>
  <c r="O18" i="3"/>
  <c r="L10" i="3"/>
  <c r="L11" i="3"/>
  <c r="G11" i="3" s="1"/>
  <c r="D14" i="3"/>
  <c r="P18" i="3"/>
  <c r="P24" i="3"/>
  <c r="E7" i="3"/>
  <c r="I17" i="1"/>
  <c r="D7" i="3" l="1"/>
  <c r="D18" i="3" s="1"/>
  <c r="I20" i="3"/>
  <c r="D20" i="3" s="1"/>
  <c r="E18" i="3"/>
  <c r="G10" i="3"/>
  <c r="E24" i="3" s="1"/>
  <c r="L8" i="3"/>
  <c r="F24" i="3"/>
  <c r="R24" i="3"/>
  <c r="R18" i="3"/>
  <c r="J24" i="3"/>
  <c r="Q24" i="3"/>
  <c r="K24" i="3"/>
  <c r="N1" i="1"/>
  <c r="G8" i="3" l="1"/>
  <c r="L7" i="3"/>
  <c r="M12" i="3" s="1"/>
  <c r="M8" i="3" s="1"/>
  <c r="M7" i="3" s="1"/>
  <c r="M21" i="3" s="1"/>
  <c r="K20" i="1"/>
  <c r="J20" i="1"/>
  <c r="J7" i="1"/>
  <c r="M20" i="3" l="1"/>
  <c r="M24" i="3"/>
  <c r="L18" i="3"/>
  <c r="G7" i="3"/>
  <c r="L24" i="3"/>
  <c r="N23" i="1"/>
  <c r="I23" i="1"/>
  <c r="H23" i="1"/>
  <c r="G23" i="1"/>
  <c r="F23" i="1"/>
  <c r="E23" i="1"/>
  <c r="N22" i="1"/>
  <c r="I22" i="1"/>
  <c r="H22" i="1"/>
  <c r="G22" i="1"/>
  <c r="F22" i="1"/>
  <c r="E22" i="1"/>
  <c r="G21" i="1"/>
  <c r="F21" i="1"/>
  <c r="E21" i="1"/>
  <c r="Q20" i="1"/>
  <c r="P20" i="1"/>
  <c r="F20" i="1" s="1"/>
  <c r="O20" i="1"/>
  <c r="L20" i="1"/>
  <c r="N19" i="1"/>
  <c r="I19" i="1"/>
  <c r="H19" i="1"/>
  <c r="G19" i="1"/>
  <c r="F19" i="1"/>
  <c r="E19" i="1"/>
  <c r="N16" i="1"/>
  <c r="I16" i="1"/>
  <c r="H16" i="1"/>
  <c r="G16" i="1"/>
  <c r="F16" i="1"/>
  <c r="E16" i="1"/>
  <c r="N15" i="1"/>
  <c r="I15" i="1"/>
  <c r="H15" i="1"/>
  <c r="G15" i="1"/>
  <c r="F15" i="1"/>
  <c r="E15" i="1"/>
  <c r="N14" i="1"/>
  <c r="I14" i="1"/>
  <c r="H14" i="1"/>
  <c r="G14" i="1"/>
  <c r="F14" i="1"/>
  <c r="E14" i="1"/>
  <c r="N13" i="1"/>
  <c r="I13" i="1"/>
  <c r="H13" i="1"/>
  <c r="G13" i="1"/>
  <c r="F13" i="1"/>
  <c r="E13" i="1"/>
  <c r="H11" i="1"/>
  <c r="H10" i="1"/>
  <c r="F10" i="1"/>
  <c r="P8" i="1"/>
  <c r="P7" i="1" s="1"/>
  <c r="P18" i="1" s="1"/>
  <c r="K8" i="1"/>
  <c r="K7" i="1" s="1"/>
  <c r="O7" i="1"/>
  <c r="O18" i="1" s="1"/>
  <c r="G18" i="3" l="1"/>
  <c r="H12" i="3"/>
  <c r="G24" i="3" s="1"/>
  <c r="F7" i="1"/>
  <c r="G20" i="1"/>
  <c r="D13" i="1"/>
  <c r="F8" i="1"/>
  <c r="D14" i="1"/>
  <c r="D16" i="1"/>
  <c r="D22" i="1"/>
  <c r="D19" i="1"/>
  <c r="I7" i="1"/>
  <c r="I20" i="1" s="1"/>
  <c r="D23" i="1"/>
  <c r="Q11" i="1"/>
  <c r="P24" i="1" s="1"/>
  <c r="E7" i="1"/>
  <c r="N7" i="1"/>
  <c r="D15" i="1"/>
  <c r="E20" i="1"/>
  <c r="H8" i="3" l="1"/>
  <c r="D7" i="1"/>
  <c r="Q10" i="1"/>
  <c r="H7" i="3" l="1"/>
  <c r="M18" i="3"/>
  <c r="Q8" i="1"/>
  <c r="Q7" i="1" s="1"/>
  <c r="Q18" i="1" s="1"/>
  <c r="O24" i="1"/>
  <c r="I21" i="3" l="1"/>
  <c r="D21" i="3" s="1"/>
  <c r="H21" i="3"/>
  <c r="H24" i="3" s="1"/>
  <c r="H20" i="3"/>
  <c r="H18" i="3"/>
  <c r="R12" i="1"/>
  <c r="R8" i="1" s="1"/>
  <c r="R7" i="1" s="1"/>
  <c r="R18" i="1" s="1"/>
  <c r="N21" i="1" l="1"/>
  <c r="R20" i="1"/>
  <c r="R24" i="1"/>
  <c r="Q24" i="1"/>
  <c r="N20" i="1" l="1"/>
  <c r="D20" i="1" s="1"/>
  <c r="L10" i="1" l="1"/>
  <c r="L11" i="1"/>
  <c r="E17" i="1"/>
  <c r="E18" i="1" s="1"/>
  <c r="F17" i="1"/>
  <c r="F18" i="1" s="1"/>
  <c r="G17" i="1"/>
  <c r="H17" i="1"/>
  <c r="J18" i="1"/>
  <c r="K18" i="1"/>
  <c r="G11" i="1" l="1"/>
  <c r="F24" i="1" s="1"/>
  <c r="K24" i="1"/>
  <c r="L8" i="1"/>
  <c r="G8" i="1" s="1"/>
  <c r="J24" i="1"/>
  <c r="G10" i="1"/>
  <c r="E24" i="1" s="1"/>
  <c r="L7" i="1" l="1"/>
  <c r="G7" i="1" s="1"/>
  <c r="L18" i="1" l="1"/>
  <c r="M12" i="1"/>
  <c r="L24" i="1" s="1"/>
  <c r="G18" i="1"/>
  <c r="H12" i="1" l="1"/>
  <c r="G24" i="1" s="1"/>
  <c r="M8" i="1"/>
  <c r="M7" i="1" s="1"/>
  <c r="M21" i="1" s="1"/>
  <c r="I21" i="1" l="1"/>
  <c r="D21" i="1" s="1"/>
  <c r="M20" i="1"/>
  <c r="H20" i="1" s="1"/>
  <c r="H21" i="1"/>
  <c r="H8" i="1"/>
  <c r="M18" i="1"/>
  <c r="M24" i="1"/>
  <c r="H7" i="1"/>
  <c r="H24" i="1" l="1"/>
  <c r="H18" i="1"/>
  <c r="N18" i="1" l="1"/>
  <c r="D17" i="1"/>
  <c r="D18" i="1" s="1"/>
  <c r="I18" i="1"/>
</calcChain>
</file>

<file path=xl/sharedStrings.xml><?xml version="1.0" encoding="utf-8"?>
<sst xmlns="http://schemas.openxmlformats.org/spreadsheetml/2006/main" count="214" uniqueCount="30">
  <si>
    <t>Баланс электроэнергиии</t>
  </si>
  <si>
    <t>Показатели</t>
  </si>
  <si>
    <t>Единица измерений</t>
  </si>
  <si>
    <t>Факт 2019 года</t>
  </si>
  <si>
    <t>год</t>
  </si>
  <si>
    <t>1 полугодие</t>
  </si>
  <si>
    <t>2 полугодие</t>
  </si>
  <si>
    <t>Всего</t>
  </si>
  <si>
    <t>ВН</t>
  </si>
  <si>
    <t>СН1</t>
  </si>
  <si>
    <t>СН2</t>
  </si>
  <si>
    <t>НН</t>
  </si>
  <si>
    <t>Поступление электроэнергии в сеть</t>
  </si>
  <si>
    <t>млн. кВт.ч.</t>
  </si>
  <si>
    <t>из смежной сети, всего</t>
  </si>
  <si>
    <t>х</t>
  </si>
  <si>
    <t xml:space="preserve">    в том числе из сети</t>
  </si>
  <si>
    <t>от электростанций</t>
  </si>
  <si>
    <t>от ПАО "ФСК ЕЭС"</t>
  </si>
  <si>
    <t>от ПАО "МОЭСК"</t>
  </si>
  <si>
    <t>Поступление электроэнергии от других сетевых организаций</t>
  </si>
  <si>
    <t>Потери в сетях</t>
  </si>
  <si>
    <t>%</t>
  </si>
  <si>
    <t>Расход электроэнергии на производственные и хозяйственные нужды</t>
  </si>
  <si>
    <t xml:space="preserve">Отпуск из сети (полезный отпуск ), в т.ч. для
</t>
  </si>
  <si>
    <t>Сальдо-переток в другие сетевые организации</t>
  </si>
  <si>
    <t>Собственное потребление</t>
  </si>
  <si>
    <t>Проверка</t>
  </si>
  <si>
    <t>объем передачи сторонним потребителям (субабонентам)</t>
  </si>
  <si>
    <t>Факт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</si>
</sst>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_(* #,##0.00_);_(* \(#,##0.00\);_(* &quot;-&quot;??_);_(@_)"/>
    <numFmt numFmtId="166" formatCode="#,##0.0000_ ;\-#,##0.0000\ "/>
    <numFmt numFmtId="167" formatCode="0.0000"/>
    <numFmt numFmtId="168" formatCode="#,##0.0000"/>
  </numFmts>
  <fonts count="2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8.25"/>
      <color indexed="12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rial Cyr"/>
      <charset val="204"/>
    </font>
    <font>
      <b/>
      <sz val="10"/>
      <color theme="1"/>
      <name val="Times New Roman"/>
      <family val="1"/>
    </font>
    <font>
      <sz val="10"/>
      <color theme="1"/>
      <name val="Arial Cyr"/>
      <charset val="204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0"/>
      <name val="Arial Cyr"/>
      <charset val="204"/>
    </font>
    <font>
      <i/>
      <sz val="10"/>
      <name val="Times New Roman"/>
      <family val="1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ahoma"/>
      <family val="2"/>
      <charset val="204"/>
    </font>
    <font>
      <sz val="10"/>
      <color theme="0"/>
      <name val="Times New Roman"/>
      <family val="1"/>
      <charset val="204"/>
    </font>
    <font>
      <b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24" fillId="7" borderId="0" applyFont="0" applyBorder="0">
      <alignment horizontal="right"/>
    </xf>
  </cellStyleXfs>
  <cellXfs count="145">
    <xf numFmtId="0" fontId="0" fillId="0" borderId="0" xfId="0"/>
    <xf numFmtId="0" fontId="3" fillId="0" borderId="0" xfId="2" applyProtection="1"/>
    <xf numFmtId="0" fontId="6" fillId="0" borderId="0" xfId="3" applyFont="1" applyBorder="1" applyAlignment="1" applyProtection="1">
      <alignment horizontal="left" vertical="center"/>
    </xf>
    <xf numFmtId="0" fontId="7" fillId="0" borderId="0" xfId="4" applyFont="1" applyBorder="1" applyAlignment="1" applyProtection="1">
      <alignment horizontal="center" vertical="center"/>
    </xf>
    <xf numFmtId="0" fontId="8" fillId="0" borderId="0" xfId="2" applyFont="1" applyAlignment="1" applyProtection="1"/>
    <xf numFmtId="0" fontId="10" fillId="0" borderId="0" xfId="4" applyFont="1" applyBorder="1" applyAlignment="1" applyProtection="1">
      <alignment horizontal="center" vertical="center"/>
    </xf>
    <xf numFmtId="0" fontId="8" fillId="0" borderId="0" xfId="2" applyFont="1" applyBorder="1" applyAlignment="1" applyProtection="1"/>
    <xf numFmtId="0" fontId="9" fillId="0" borderId="0" xfId="2" applyFont="1" applyBorder="1" applyAlignment="1" applyProtection="1">
      <alignment vertical="center"/>
    </xf>
    <xf numFmtId="0" fontId="9" fillId="0" borderId="0" xfId="2" applyFont="1" applyBorder="1" applyAlignment="1" applyProtection="1">
      <alignment horizontal="center" vertical="center"/>
    </xf>
    <xf numFmtId="0" fontId="11" fillId="2" borderId="0" xfId="2" applyFont="1" applyFill="1" applyProtection="1"/>
    <xf numFmtId="164" fontId="11" fillId="2" borderId="8" xfId="2" applyNumberFormat="1" applyFont="1" applyFill="1" applyBorder="1" applyAlignment="1" applyProtection="1">
      <alignment horizontal="center" vertical="center" wrapText="1"/>
    </xf>
    <xf numFmtId="164" fontId="11" fillId="2" borderId="9" xfId="2" applyNumberFormat="1" applyFont="1" applyFill="1" applyBorder="1" applyAlignment="1" applyProtection="1">
      <alignment horizontal="center" vertical="center" wrapText="1"/>
    </xf>
    <xf numFmtId="164" fontId="11" fillId="2" borderId="24" xfId="2" applyNumberFormat="1" applyFont="1" applyFill="1" applyBorder="1" applyAlignment="1" applyProtection="1">
      <alignment horizontal="center" vertical="center" wrapText="1"/>
    </xf>
    <xf numFmtId="0" fontId="12" fillId="3" borderId="0" xfId="2" applyFont="1" applyFill="1" applyProtection="1"/>
    <xf numFmtId="0" fontId="13" fillId="3" borderId="13" xfId="2" applyFont="1" applyFill="1" applyBorder="1" applyAlignment="1" applyProtection="1">
      <alignment vertical="top" wrapText="1"/>
    </xf>
    <xf numFmtId="0" fontId="13" fillId="3" borderId="25" xfId="2" applyFont="1" applyFill="1" applyBorder="1" applyAlignment="1" applyProtection="1">
      <alignment horizontal="center" vertical="top" wrapText="1"/>
    </xf>
    <xf numFmtId="166" fontId="13" fillId="4" borderId="3" xfId="5" applyNumberFormat="1" applyFont="1" applyFill="1" applyBorder="1" applyAlignment="1" applyProtection="1">
      <alignment horizontal="right"/>
    </xf>
    <xf numFmtId="166" fontId="13" fillId="4" borderId="27" xfId="5" applyNumberFormat="1" applyFont="1" applyFill="1" applyBorder="1" applyAlignment="1" applyProtection="1">
      <alignment horizontal="right"/>
    </xf>
    <xf numFmtId="166" fontId="13" fillId="4" borderId="2" xfId="5" applyNumberFormat="1" applyFont="1" applyFill="1" applyBorder="1" applyAlignment="1" applyProtection="1">
      <alignment horizontal="right"/>
    </xf>
    <xf numFmtId="0" fontId="1" fillId="3" borderId="0" xfId="2" applyFont="1" applyFill="1" applyProtection="1"/>
    <xf numFmtId="0" fontId="14" fillId="3" borderId="18" xfId="2" applyFont="1" applyFill="1" applyBorder="1" applyAlignment="1" applyProtection="1">
      <alignment vertical="top" wrapText="1"/>
    </xf>
    <xf numFmtId="0" fontId="14" fillId="3" borderId="28" xfId="2" applyFont="1" applyFill="1" applyBorder="1" applyAlignment="1" applyProtection="1">
      <alignment horizontal="center" vertical="top" wrapText="1"/>
    </xf>
    <xf numFmtId="166" fontId="14" fillId="3" borderId="6" xfId="5" applyNumberFormat="1" applyFont="1" applyFill="1" applyBorder="1" applyAlignment="1" applyProtection="1">
      <alignment horizontal="center"/>
    </xf>
    <xf numFmtId="166" fontId="14" fillId="4" borderId="6" xfId="5" applyNumberFormat="1" applyFont="1" applyFill="1" applyBorder="1" applyAlignment="1" applyProtection="1">
      <alignment horizontal="right"/>
    </xf>
    <xf numFmtId="166" fontId="14" fillId="4" borderId="21" xfId="5" applyNumberFormat="1" applyFont="1" applyFill="1" applyBorder="1" applyAlignment="1" applyProtection="1">
      <alignment horizontal="right"/>
    </xf>
    <xf numFmtId="166" fontId="14" fillId="3" borderId="5" xfId="5" applyNumberFormat="1" applyFont="1" applyFill="1" applyBorder="1" applyAlignment="1" applyProtection="1">
      <alignment horizontal="center"/>
    </xf>
    <xf numFmtId="166" fontId="13" fillId="4" borderId="6" xfId="5" applyNumberFormat="1" applyFont="1" applyFill="1" applyBorder="1" applyAlignment="1" applyProtection="1">
      <alignment horizontal="right"/>
    </xf>
    <xf numFmtId="166" fontId="14" fillId="3" borderId="21" xfId="5" applyNumberFormat="1" applyFont="1" applyFill="1" applyBorder="1" applyAlignment="1" applyProtection="1">
      <alignment horizontal="center"/>
    </xf>
    <xf numFmtId="0" fontId="1" fillId="0" borderId="0" xfId="2" applyFont="1" applyProtection="1"/>
    <xf numFmtId="0" fontId="14" fillId="0" borderId="18" xfId="2" applyFont="1" applyBorder="1" applyAlignment="1" applyProtection="1">
      <alignment vertical="top" wrapText="1"/>
    </xf>
    <xf numFmtId="0" fontId="14" fillId="0" borderId="28" xfId="2" applyFont="1" applyBorder="1" applyAlignment="1" applyProtection="1">
      <alignment horizontal="center" vertical="top" wrapText="1"/>
    </xf>
    <xf numFmtId="166" fontId="14" fillId="0" borderId="6" xfId="5" applyNumberFormat="1" applyFont="1" applyFill="1" applyBorder="1" applyAlignment="1" applyProtection="1">
      <alignment horizontal="center"/>
    </xf>
    <xf numFmtId="166" fontId="14" fillId="0" borderId="5" xfId="5" applyNumberFormat="1" applyFont="1" applyFill="1" applyBorder="1" applyAlignment="1" applyProtection="1">
      <alignment horizontal="center"/>
    </xf>
    <xf numFmtId="166" fontId="13" fillId="4" borderId="5" xfId="5" applyNumberFormat="1" applyFont="1" applyFill="1" applyBorder="1" applyAlignment="1" applyProtection="1">
      <alignment horizontal="right"/>
    </xf>
    <xf numFmtId="0" fontId="2" fillId="0" borderId="0" xfId="2" applyFont="1" applyProtection="1"/>
    <xf numFmtId="0" fontId="13" fillId="3" borderId="28" xfId="2" applyFont="1" applyFill="1" applyBorder="1" applyAlignment="1" applyProtection="1">
      <alignment horizontal="center" vertical="top" wrapText="1"/>
    </xf>
    <xf numFmtId="166" fontId="13" fillId="4" borderId="21" xfId="5" applyNumberFormat="1" applyFont="1" applyFill="1" applyBorder="1" applyAlignment="1" applyProtection="1">
      <alignment horizontal="right"/>
    </xf>
    <xf numFmtId="167" fontId="1" fillId="3" borderId="0" xfId="2" applyNumberFormat="1" applyFont="1" applyFill="1" applyProtection="1"/>
    <xf numFmtId="167" fontId="14" fillId="3" borderId="28" xfId="2" applyNumberFormat="1" applyFont="1" applyFill="1" applyBorder="1" applyAlignment="1" applyProtection="1">
      <alignment horizontal="center" vertical="top" wrapText="1"/>
    </xf>
    <xf numFmtId="167" fontId="14" fillId="4" borderId="6" xfId="5" applyNumberFormat="1" applyFont="1" applyFill="1" applyBorder="1" applyAlignment="1" applyProtection="1">
      <alignment horizontal="right"/>
    </xf>
    <xf numFmtId="167" fontId="14" fillId="4" borderId="21" xfId="5" applyNumberFormat="1" applyFont="1" applyFill="1" applyBorder="1" applyAlignment="1" applyProtection="1">
      <alignment horizontal="right"/>
    </xf>
    <xf numFmtId="167" fontId="0" fillId="0" borderId="0" xfId="0" applyNumberFormat="1"/>
    <xf numFmtId="0" fontId="12" fillId="0" borderId="0" xfId="2" applyFont="1" applyProtection="1"/>
    <xf numFmtId="0" fontId="13" fillId="0" borderId="18" xfId="2" applyFont="1" applyBorder="1" applyAlignment="1" applyProtection="1">
      <alignment vertical="top" wrapText="1"/>
    </xf>
    <xf numFmtId="0" fontId="13" fillId="0" borderId="28" xfId="2" applyFont="1" applyBorder="1" applyAlignment="1" applyProtection="1">
      <alignment horizontal="center" vertical="top" wrapText="1"/>
    </xf>
    <xf numFmtId="0" fontId="15" fillId="3" borderId="0" xfId="2" applyFont="1" applyFill="1" applyProtection="1"/>
    <xf numFmtId="0" fontId="16" fillId="3" borderId="18" xfId="2" applyFont="1" applyFill="1" applyBorder="1" applyAlignment="1" applyProtection="1">
      <alignment vertical="top" wrapText="1"/>
    </xf>
    <xf numFmtId="0" fontId="16" fillId="3" borderId="28" xfId="2" applyFont="1" applyFill="1" applyBorder="1" applyAlignment="1" applyProtection="1">
      <alignment horizontal="center" vertical="top" wrapText="1"/>
    </xf>
    <xf numFmtId="166" fontId="16" fillId="4" borderId="6" xfId="5" applyNumberFormat="1" applyFont="1" applyFill="1" applyBorder="1" applyAlignment="1" applyProtection="1">
      <alignment horizontal="right"/>
    </xf>
    <xf numFmtId="166" fontId="16" fillId="4" borderId="21" xfId="5" applyNumberFormat="1" applyFont="1" applyFill="1" applyBorder="1" applyAlignment="1" applyProtection="1">
      <alignment horizontal="right"/>
    </xf>
    <xf numFmtId="166" fontId="16" fillId="4" borderId="5" xfId="5" applyNumberFormat="1" applyFont="1" applyFill="1" applyBorder="1" applyAlignment="1" applyProtection="1">
      <alignment horizontal="right"/>
    </xf>
    <xf numFmtId="0" fontId="4" fillId="0" borderId="0" xfId="0" applyFont="1"/>
    <xf numFmtId="0" fontId="17" fillId="0" borderId="0" xfId="2" applyFont="1" applyProtection="1"/>
    <xf numFmtId="0" fontId="18" fillId="3" borderId="18" xfId="2" applyFont="1" applyFill="1" applyBorder="1" applyAlignment="1" applyProtection="1">
      <alignment horizontal="left" vertical="top" wrapText="1" indent="1"/>
    </xf>
    <xf numFmtId="0" fontId="18" fillId="0" borderId="28" xfId="2" applyFont="1" applyBorder="1" applyAlignment="1" applyProtection="1">
      <alignment horizontal="center" vertical="top" wrapText="1"/>
    </xf>
    <xf numFmtId="166" fontId="18" fillId="4" borderId="6" xfId="5" applyNumberFormat="1" applyFont="1" applyFill="1" applyBorder="1" applyAlignment="1" applyProtection="1">
      <alignment horizontal="right"/>
    </xf>
    <xf numFmtId="166" fontId="18" fillId="4" borderId="21" xfId="5" applyNumberFormat="1" applyFont="1" applyFill="1" applyBorder="1" applyAlignment="1" applyProtection="1">
      <alignment horizontal="right"/>
    </xf>
    <xf numFmtId="0" fontId="14" fillId="0" borderId="29" xfId="2" applyFont="1" applyBorder="1" applyAlignment="1" applyProtection="1">
      <alignment vertical="top" wrapText="1"/>
    </xf>
    <xf numFmtId="0" fontId="14" fillId="0" borderId="30" xfId="2" applyFont="1" applyBorder="1" applyAlignment="1" applyProtection="1">
      <alignment horizontal="center" vertical="top" wrapText="1"/>
    </xf>
    <xf numFmtId="166" fontId="14" fillId="4" borderId="32" xfId="5" applyNumberFormat="1" applyFont="1" applyFill="1" applyBorder="1" applyAlignment="1" applyProtection="1">
      <alignment horizontal="right"/>
    </xf>
    <xf numFmtId="166" fontId="14" fillId="4" borderId="33" xfId="5" applyNumberFormat="1" applyFont="1" applyFill="1" applyBorder="1" applyAlignment="1" applyProtection="1">
      <alignment horizontal="right"/>
    </xf>
    <xf numFmtId="166" fontId="13" fillId="4" borderId="34" xfId="5" applyNumberFormat="1" applyFont="1" applyFill="1" applyBorder="1" applyAlignment="1" applyProtection="1">
      <alignment horizontal="right"/>
    </xf>
    <xf numFmtId="0" fontId="13" fillId="3" borderId="35" xfId="2" applyFont="1" applyFill="1" applyBorder="1" applyAlignment="1" applyProtection="1">
      <alignment vertical="top" wrapText="1"/>
    </xf>
    <xf numFmtId="0" fontId="13" fillId="0" borderId="36" xfId="2" applyFont="1" applyBorder="1" applyAlignment="1" applyProtection="1">
      <alignment horizontal="center" vertical="top" wrapText="1"/>
    </xf>
    <xf numFmtId="166" fontId="13" fillId="4" borderId="38" xfId="5" applyNumberFormat="1" applyFont="1" applyFill="1" applyBorder="1" applyAlignment="1" applyProtection="1">
      <alignment horizontal="right"/>
    </xf>
    <xf numFmtId="166" fontId="13" fillId="4" borderId="39" xfId="5" applyNumberFormat="1" applyFont="1" applyFill="1" applyBorder="1" applyAlignment="1" applyProtection="1">
      <alignment horizontal="right"/>
    </xf>
    <xf numFmtId="166" fontId="13" fillId="4" borderId="40" xfId="5" applyNumberFormat="1" applyFont="1" applyFill="1" applyBorder="1" applyAlignment="1" applyProtection="1">
      <alignment horizontal="right"/>
    </xf>
    <xf numFmtId="0" fontId="20" fillId="0" borderId="0" xfId="2" applyFont="1" applyProtection="1"/>
    <xf numFmtId="0" fontId="21" fillId="0" borderId="1" xfId="2" applyFont="1" applyBorder="1" applyAlignment="1" applyProtection="1">
      <alignment vertical="top" wrapText="1"/>
    </xf>
    <xf numFmtId="0" fontId="21" fillId="0" borderId="23" xfId="2" applyFont="1" applyBorder="1" applyAlignment="1" applyProtection="1">
      <alignment horizontal="center" vertical="top" wrapText="1"/>
    </xf>
    <xf numFmtId="166" fontId="21" fillId="4" borderId="42" xfId="5" applyNumberFormat="1" applyFont="1" applyFill="1" applyBorder="1" applyAlignment="1" applyProtection="1">
      <alignment horizontal="right"/>
    </xf>
    <xf numFmtId="166" fontId="21" fillId="4" borderId="43" xfId="5" applyNumberFormat="1" applyFont="1" applyFill="1" applyBorder="1" applyAlignment="1" applyProtection="1">
      <alignment horizontal="right"/>
    </xf>
    <xf numFmtId="166" fontId="22" fillId="3" borderId="44" xfId="5" applyNumberFormat="1" applyFont="1" applyFill="1" applyBorder="1" applyAlignment="1" applyProtection="1">
      <alignment horizontal="center" vertical="center"/>
    </xf>
    <xf numFmtId="0" fontId="20" fillId="0" borderId="0" xfId="2" applyFont="1" applyFill="1" applyProtection="1"/>
    <xf numFmtId="0" fontId="21" fillId="0" borderId="0" xfId="2" applyFont="1" applyFill="1" applyBorder="1" applyAlignment="1" applyProtection="1">
      <alignment vertical="top" wrapText="1"/>
    </xf>
    <xf numFmtId="0" fontId="21" fillId="0" borderId="0" xfId="2" applyFont="1" applyFill="1" applyBorder="1" applyAlignment="1" applyProtection="1">
      <alignment horizontal="center" vertical="top" wrapText="1"/>
    </xf>
    <xf numFmtId="166" fontId="22" fillId="0" borderId="0" xfId="5" applyNumberFormat="1" applyFont="1" applyFill="1" applyBorder="1" applyAlignment="1" applyProtection="1">
      <alignment horizontal="center" vertical="center"/>
    </xf>
    <xf numFmtId="166" fontId="21" fillId="0" borderId="0" xfId="5" applyNumberFormat="1" applyFont="1" applyFill="1" applyBorder="1" applyAlignment="1" applyProtection="1">
      <alignment horizontal="right"/>
    </xf>
    <xf numFmtId="166" fontId="13" fillId="0" borderId="0" xfId="5" applyNumberFormat="1" applyFont="1" applyFill="1" applyBorder="1" applyAlignment="1" applyProtection="1">
      <alignment horizontal="right"/>
    </xf>
    <xf numFmtId="0" fontId="8" fillId="0" borderId="0" xfId="2" applyFont="1" applyProtection="1"/>
    <xf numFmtId="0" fontId="8" fillId="0" borderId="0" xfId="2" applyFont="1" applyAlignment="1" applyProtection="1">
      <alignment horizontal="center"/>
    </xf>
    <xf numFmtId="0" fontId="8" fillId="0" borderId="0" xfId="2" applyNumberFormat="1" applyFont="1" applyAlignment="1" applyProtection="1">
      <alignment horizontal="right"/>
    </xf>
    <xf numFmtId="166" fontId="14" fillId="4" borderId="5" xfId="5" applyNumberFormat="1" applyFont="1" applyFill="1" applyBorder="1" applyAlignment="1" applyProtection="1">
      <alignment horizontal="right"/>
    </xf>
    <xf numFmtId="0" fontId="23" fillId="0" borderId="0" xfId="2" applyNumberFormat="1" applyFont="1" applyAlignment="1" applyProtection="1">
      <alignment horizontal="left"/>
    </xf>
    <xf numFmtId="167" fontId="13" fillId="4" borderId="3" xfId="5" applyNumberFormat="1" applyFont="1" applyFill="1" applyBorder="1" applyAlignment="1" applyProtection="1">
      <alignment horizontal="right"/>
    </xf>
    <xf numFmtId="167" fontId="13" fillId="4" borderId="4" xfId="5" applyNumberFormat="1" applyFont="1" applyFill="1" applyBorder="1" applyAlignment="1" applyProtection="1">
      <alignment horizontal="right"/>
    </xf>
    <xf numFmtId="167" fontId="14" fillId="3" borderId="6" xfId="5" applyNumberFormat="1" applyFont="1" applyFill="1" applyBorder="1" applyAlignment="1" applyProtection="1">
      <alignment horizontal="center"/>
    </xf>
    <xf numFmtId="167" fontId="13" fillId="4" borderId="6" xfId="5" applyNumberFormat="1" applyFont="1" applyFill="1" applyBorder="1" applyAlignment="1" applyProtection="1">
      <alignment horizontal="right"/>
    </xf>
    <xf numFmtId="167" fontId="13" fillId="4" borderId="7" xfId="5" applyNumberFormat="1" applyFont="1" applyFill="1" applyBorder="1" applyAlignment="1" applyProtection="1">
      <alignment horizontal="right"/>
    </xf>
    <xf numFmtId="167" fontId="14" fillId="3" borderId="7" xfId="5" applyNumberFormat="1" applyFont="1" applyFill="1" applyBorder="1" applyAlignment="1" applyProtection="1">
      <alignment horizontal="center"/>
    </xf>
    <xf numFmtId="167" fontId="14" fillId="0" borderId="6" xfId="5" applyNumberFormat="1" applyFont="1" applyFill="1" applyBorder="1" applyAlignment="1" applyProtection="1">
      <alignment horizontal="center"/>
    </xf>
    <xf numFmtId="167" fontId="8" fillId="5" borderId="6" xfId="5" applyNumberFormat="1" applyFont="1" applyFill="1" applyBorder="1" applyAlignment="1" applyProtection="1">
      <alignment horizontal="right"/>
      <protection locked="0"/>
    </xf>
    <xf numFmtId="167" fontId="16" fillId="4" borderId="6" xfId="5" applyNumberFormat="1" applyFont="1" applyFill="1" applyBorder="1" applyAlignment="1" applyProtection="1">
      <alignment horizontal="right"/>
    </xf>
    <xf numFmtId="167" fontId="16" fillId="4" borderId="7" xfId="5" applyNumberFormat="1" applyFont="1" applyFill="1" applyBorder="1" applyAlignment="1" applyProtection="1">
      <alignment horizontal="right"/>
    </xf>
    <xf numFmtId="167" fontId="19" fillId="5" borderId="6" xfId="5" applyNumberFormat="1" applyFont="1" applyFill="1" applyBorder="1" applyAlignment="1" applyProtection="1">
      <alignment horizontal="right"/>
      <protection locked="0"/>
    </xf>
    <xf numFmtId="167" fontId="8" fillId="5" borderId="32" xfId="5" applyNumberFormat="1" applyFont="1" applyFill="1" applyBorder="1" applyAlignment="1" applyProtection="1">
      <alignment horizontal="right"/>
      <protection locked="0"/>
    </xf>
    <xf numFmtId="167" fontId="8" fillId="5" borderId="38" xfId="5" applyNumberFormat="1" applyFont="1" applyFill="1" applyBorder="1" applyAlignment="1" applyProtection="1">
      <alignment horizontal="right"/>
      <protection locked="0"/>
    </xf>
    <xf numFmtId="167" fontId="8" fillId="5" borderId="46" xfId="5" applyNumberFormat="1" applyFont="1" applyFill="1" applyBorder="1" applyAlignment="1" applyProtection="1">
      <alignment horizontal="right"/>
      <protection locked="0"/>
    </xf>
    <xf numFmtId="167" fontId="13" fillId="4" borderId="42" xfId="5" applyNumberFormat="1" applyFont="1" applyFill="1" applyBorder="1" applyAlignment="1" applyProtection="1">
      <alignment horizontal="right"/>
    </xf>
    <xf numFmtId="167" fontId="13" fillId="4" borderId="45" xfId="5" applyNumberFormat="1" applyFont="1" applyFill="1" applyBorder="1" applyAlignment="1" applyProtection="1">
      <alignment horizontal="right"/>
    </xf>
    <xf numFmtId="164" fontId="11" fillId="2" borderId="47" xfId="2" applyNumberFormat="1" applyFont="1" applyFill="1" applyBorder="1" applyAlignment="1" applyProtection="1">
      <alignment horizontal="center" vertical="center" wrapText="1"/>
    </xf>
    <xf numFmtId="167" fontId="13" fillId="4" borderId="26" xfId="5" applyNumberFormat="1" applyFont="1" applyFill="1" applyBorder="1" applyAlignment="1" applyProtection="1">
      <alignment horizontal="right"/>
    </xf>
    <xf numFmtId="167" fontId="14" fillId="3" borderId="20" xfId="5" applyNumberFormat="1" applyFont="1" applyFill="1" applyBorder="1" applyAlignment="1" applyProtection="1">
      <alignment horizontal="center"/>
    </xf>
    <xf numFmtId="167" fontId="14" fillId="0" borderId="20" xfId="5" applyNumberFormat="1" applyFont="1" applyFill="1" applyBorder="1" applyAlignment="1" applyProtection="1">
      <alignment horizontal="center"/>
    </xf>
    <xf numFmtId="167" fontId="13" fillId="4" borderId="20" xfId="5" applyNumberFormat="1" applyFont="1" applyFill="1" applyBorder="1" applyAlignment="1" applyProtection="1">
      <alignment horizontal="right"/>
    </xf>
    <xf numFmtId="167" fontId="16" fillId="4" borderId="20" xfId="5" applyNumberFormat="1" applyFont="1" applyFill="1" applyBorder="1" applyAlignment="1" applyProtection="1">
      <alignment horizontal="right"/>
    </xf>
    <xf numFmtId="167" fontId="13" fillId="4" borderId="31" xfId="5" applyNumberFormat="1" applyFont="1" applyFill="1" applyBorder="1" applyAlignment="1" applyProtection="1">
      <alignment horizontal="right"/>
    </xf>
    <xf numFmtId="167" fontId="13" fillId="4" borderId="37" xfId="5" applyNumberFormat="1" applyFont="1" applyFill="1" applyBorder="1" applyAlignment="1" applyProtection="1">
      <alignment horizontal="right"/>
    </xf>
    <xf numFmtId="167" fontId="22" fillId="3" borderId="41" xfId="5" applyNumberFormat="1" applyFont="1" applyFill="1" applyBorder="1" applyAlignment="1" applyProtection="1">
      <alignment horizontal="center" vertical="center"/>
    </xf>
    <xf numFmtId="164" fontId="11" fillId="2" borderId="10" xfId="2" applyNumberFormat="1" applyFont="1" applyFill="1" applyBorder="1" applyAlignment="1" applyProtection="1">
      <alignment horizontal="center" vertical="center" wrapText="1"/>
    </xf>
    <xf numFmtId="167" fontId="8" fillId="5" borderId="7" xfId="5" applyNumberFormat="1" applyFont="1" applyFill="1" applyBorder="1" applyAlignment="1" applyProtection="1">
      <alignment horizontal="right"/>
      <protection locked="0"/>
    </xf>
    <xf numFmtId="166" fontId="18" fillId="4" borderId="5" xfId="5" applyNumberFormat="1" applyFont="1" applyFill="1" applyBorder="1" applyAlignment="1" applyProtection="1">
      <alignment horizontal="right"/>
    </xf>
    <xf numFmtId="167" fontId="19" fillId="6" borderId="7" xfId="5" applyNumberFormat="1" applyFont="1" applyFill="1" applyBorder="1" applyAlignment="1" applyProtection="1">
      <alignment horizontal="right"/>
      <protection locked="0"/>
    </xf>
    <xf numFmtId="167" fontId="8" fillId="5" borderId="49" xfId="5" applyNumberFormat="1" applyFont="1" applyFill="1" applyBorder="1" applyAlignment="1" applyProtection="1">
      <alignment horizontal="right"/>
      <protection locked="0"/>
    </xf>
    <xf numFmtId="167" fontId="14" fillId="4" borderId="5" xfId="5" applyNumberFormat="1" applyFont="1" applyFill="1" applyBorder="1" applyAlignment="1" applyProtection="1">
      <alignment horizontal="right"/>
    </xf>
    <xf numFmtId="167" fontId="19" fillId="5" borderId="7" xfId="5" applyNumberFormat="1" applyFont="1" applyFill="1" applyBorder="1" applyAlignment="1" applyProtection="1">
      <alignment horizontal="right"/>
      <protection locked="0"/>
    </xf>
    <xf numFmtId="166" fontId="14" fillId="4" borderId="34" xfId="5" applyNumberFormat="1" applyFont="1" applyFill="1" applyBorder="1" applyAlignment="1" applyProtection="1">
      <alignment horizontal="right"/>
    </xf>
    <xf numFmtId="0" fontId="25" fillId="0" borderId="0" xfId="2" applyFont="1" applyAlignment="1" applyProtection="1"/>
    <xf numFmtId="168" fontId="8" fillId="5" borderId="6" xfId="5" applyNumberFormat="1" applyFont="1" applyFill="1" applyBorder="1" applyAlignment="1" applyProtection="1">
      <alignment horizontal="right"/>
      <protection locked="0"/>
    </xf>
    <xf numFmtId="168" fontId="8" fillId="5" borderId="7" xfId="5" applyNumberFormat="1" applyFont="1" applyFill="1" applyBorder="1" applyAlignment="1" applyProtection="1">
      <alignment horizontal="right"/>
      <protection locked="0"/>
    </xf>
    <xf numFmtId="168" fontId="19" fillId="5" borderId="6" xfId="5" applyNumberFormat="1" applyFont="1" applyFill="1" applyBorder="1" applyAlignment="1" applyProtection="1">
      <alignment horizontal="right"/>
      <protection locked="0"/>
    </xf>
    <xf numFmtId="168" fontId="19" fillId="5" borderId="7" xfId="5" applyNumberFormat="1" applyFont="1" applyFill="1" applyBorder="1" applyAlignment="1" applyProtection="1">
      <alignment horizontal="right"/>
      <protection locked="0"/>
    </xf>
    <xf numFmtId="168" fontId="8" fillId="5" borderId="32" xfId="5" applyNumberFormat="1" applyFont="1" applyFill="1" applyBorder="1" applyAlignment="1" applyProtection="1">
      <alignment horizontal="right"/>
      <protection locked="0"/>
    </xf>
    <xf numFmtId="168" fontId="8" fillId="5" borderId="49" xfId="5" applyNumberFormat="1" applyFont="1" applyFill="1" applyBorder="1" applyAlignment="1" applyProtection="1">
      <alignment horizontal="right"/>
      <protection locked="0"/>
    </xf>
    <xf numFmtId="168" fontId="14" fillId="0" borderId="6" xfId="5" applyNumberFormat="1" applyFont="1" applyFill="1" applyBorder="1" applyAlignment="1" applyProtection="1">
      <alignment horizontal="center"/>
    </xf>
    <xf numFmtId="168" fontId="13" fillId="4" borderId="7" xfId="5" applyNumberFormat="1" applyFont="1" applyFill="1" applyBorder="1" applyAlignment="1" applyProtection="1">
      <alignment horizontal="right"/>
    </xf>
    <xf numFmtId="168" fontId="19" fillId="6" borderId="7" xfId="5" applyNumberFormat="1" applyFont="1" applyFill="1" applyBorder="1" applyAlignment="1" applyProtection="1">
      <alignment horizontal="right"/>
      <protection locked="0"/>
    </xf>
    <xf numFmtId="0" fontId="13" fillId="3" borderId="18" xfId="2" applyFont="1" applyFill="1" applyBorder="1" applyAlignment="1" applyProtection="1">
      <alignment horizontal="left" vertical="center" wrapText="1"/>
    </xf>
    <xf numFmtId="164" fontId="11" fillId="2" borderId="18" xfId="2" applyNumberFormat="1" applyFont="1" applyFill="1" applyBorder="1" applyAlignment="1" applyProtection="1">
      <alignment horizontal="center" vertical="center" wrapText="1"/>
    </xf>
    <xf numFmtId="164" fontId="11" fillId="2" borderId="19" xfId="2" applyNumberFormat="1" applyFont="1" applyFill="1" applyBorder="1" applyAlignment="1" applyProtection="1">
      <alignment horizontal="center" vertical="center" wrapText="1"/>
    </xf>
    <xf numFmtId="164" fontId="11" fillId="2" borderId="13" xfId="2" applyNumberFormat="1" applyFont="1" applyFill="1" applyBorder="1" applyAlignment="1" applyProtection="1">
      <alignment horizontal="center" vertical="center" wrapText="1"/>
    </xf>
    <xf numFmtId="164" fontId="11" fillId="2" borderId="14" xfId="2" applyNumberFormat="1" applyFont="1" applyFill="1" applyBorder="1" applyAlignment="1" applyProtection="1">
      <alignment horizontal="center" vertical="center" wrapText="1"/>
    </xf>
    <xf numFmtId="164" fontId="11" fillId="2" borderId="15" xfId="2" applyNumberFormat="1" applyFont="1" applyFill="1" applyBorder="1" applyAlignment="1" applyProtection="1">
      <alignment horizontal="center" vertical="center" wrapText="1"/>
    </xf>
    <xf numFmtId="164" fontId="11" fillId="2" borderId="22" xfId="2" applyNumberFormat="1" applyFont="1" applyFill="1" applyBorder="1" applyAlignment="1" applyProtection="1">
      <alignment horizontal="center" vertical="center" wrapText="1"/>
    </xf>
    <xf numFmtId="0" fontId="11" fillId="2" borderId="11" xfId="2" applyFont="1" applyFill="1" applyBorder="1" applyAlignment="1" applyProtection="1">
      <alignment horizontal="center" vertical="center" wrapText="1"/>
    </xf>
    <xf numFmtId="0" fontId="11" fillId="2" borderId="16" xfId="2" applyFont="1" applyFill="1" applyBorder="1" applyAlignment="1" applyProtection="1">
      <alignment horizontal="center" vertical="center" wrapText="1"/>
    </xf>
    <xf numFmtId="0" fontId="11" fillId="2" borderId="1" xfId="2" applyFont="1" applyFill="1" applyBorder="1" applyAlignment="1" applyProtection="1">
      <alignment horizontal="center" vertical="center" wrapText="1"/>
    </xf>
    <xf numFmtId="0" fontId="11" fillId="2" borderId="12" xfId="2" applyFont="1" applyFill="1" applyBorder="1" applyAlignment="1" applyProtection="1">
      <alignment horizontal="center" vertical="center" wrapText="1"/>
    </xf>
    <xf numFmtId="0" fontId="11" fillId="2" borderId="17" xfId="2" applyFont="1" applyFill="1" applyBorder="1" applyAlignment="1" applyProtection="1">
      <alignment horizontal="center" vertical="center" wrapText="1"/>
    </xf>
    <xf numFmtId="0" fontId="11" fillId="2" borderId="23" xfId="2" applyFont="1" applyFill="1" applyBorder="1" applyAlignment="1" applyProtection="1">
      <alignment horizontal="center" vertical="center" wrapText="1"/>
    </xf>
    <xf numFmtId="164" fontId="11" fillId="2" borderId="48" xfId="2" applyNumberFormat="1" applyFont="1" applyFill="1" applyBorder="1" applyAlignment="1" applyProtection="1">
      <alignment horizontal="center" vertical="center" wrapText="1"/>
    </xf>
    <xf numFmtId="164" fontId="26" fillId="2" borderId="13" xfId="2" applyNumberFormat="1" applyFont="1" applyFill="1" applyBorder="1" applyAlignment="1" applyProtection="1">
      <alignment horizontal="center" vertical="center" wrapText="1"/>
    </xf>
    <xf numFmtId="164" fontId="26" fillId="2" borderId="14" xfId="2" applyNumberFormat="1" applyFont="1" applyFill="1" applyBorder="1" applyAlignment="1" applyProtection="1">
      <alignment horizontal="center" vertical="center" wrapText="1"/>
    </xf>
    <xf numFmtId="164" fontId="26" fillId="2" borderId="48" xfId="2" applyNumberFormat="1" applyFont="1" applyFill="1" applyBorder="1" applyAlignment="1" applyProtection="1">
      <alignment horizontal="center" vertical="center" wrapText="1"/>
    </xf>
    <xf numFmtId="164" fontId="26" fillId="2" borderId="15" xfId="2" applyNumberFormat="1" applyFont="1" applyFill="1" applyBorder="1" applyAlignment="1" applyProtection="1">
      <alignment horizontal="center" vertical="center" wrapText="1"/>
    </xf>
  </cellXfs>
  <cellStyles count="8">
    <cellStyle name="Гиперссылка 5" xfId="3" xr:uid="{00000000-0005-0000-0000-000000000000}"/>
    <cellStyle name="Обычный" xfId="0" builtinId="0"/>
    <cellStyle name="Обычный 11 2" xfId="2" xr:uid="{00000000-0005-0000-0000-000002000000}"/>
    <cellStyle name="Обычный 14" xfId="4" xr:uid="{00000000-0005-0000-0000-000003000000}"/>
    <cellStyle name="Обычный 3 4" xfId="1" xr:uid="{00000000-0005-0000-0000-000004000000}"/>
    <cellStyle name="Процентный 8" xfId="6" xr:uid="{00000000-0005-0000-0000-000005000000}"/>
    <cellStyle name="Финансовый 8" xfId="5" xr:uid="{00000000-0005-0000-0000-000006000000}"/>
    <cellStyle name="Формула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>
    <pageSetUpPr fitToPage="1"/>
  </sheetPr>
  <dimension ref="A1:R25"/>
  <sheetViews>
    <sheetView zoomScale="70" zoomScaleNormal="70" zoomScaleSheetLayoutView="100" workbookViewId="0">
      <selection activeCell="I37" sqref="I37"/>
    </sheetView>
  </sheetViews>
  <sheetFormatPr defaultColWidth="15.7109375" defaultRowHeight="15" x14ac:dyDescent="0.25"/>
  <cols>
    <col min="1" max="1" width="7.28515625" style="1" customWidth="1"/>
    <col min="2" max="2" width="43.28515625" style="79" customWidth="1"/>
    <col min="3" max="3" width="18" style="80" customWidth="1"/>
    <col min="4" max="4" width="11.5703125" style="81" bestFit="1" customWidth="1"/>
    <col min="5" max="5" width="12.7109375" style="81" bestFit="1" customWidth="1"/>
    <col min="6" max="6" width="11.140625" style="81" bestFit="1" customWidth="1"/>
    <col min="7" max="7" width="11.5703125" style="81" bestFit="1" customWidth="1"/>
    <col min="8" max="8" width="12.28515625" style="81" customWidth="1"/>
    <col min="9" max="10" width="11.5703125" style="81" bestFit="1" customWidth="1"/>
    <col min="11" max="11" width="11.140625" style="81" bestFit="1" customWidth="1"/>
    <col min="12" max="12" width="13" style="81" customWidth="1"/>
    <col min="13" max="13" width="12.7109375" style="81" customWidth="1"/>
    <col min="14" max="15" width="11.5703125" style="81" bestFit="1" customWidth="1"/>
    <col min="16" max="16" width="11.140625" style="81" bestFit="1" customWidth="1"/>
    <col min="17" max="17" width="12.7109375" style="81" customWidth="1"/>
    <col min="18" max="18" width="12.28515625" style="81" customWidth="1"/>
  </cols>
  <sheetData>
    <row r="1" spans="1:18" ht="12" customHeight="1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117">
        <f>6900</f>
        <v>6900</v>
      </c>
      <c r="O1" s="4"/>
      <c r="P1" s="4"/>
      <c r="Q1" s="4"/>
      <c r="R1" s="4"/>
    </row>
    <row r="2" spans="1:18" ht="18.75" customHeight="1" x14ac:dyDescent="0.3">
      <c r="B2" s="83" t="s">
        <v>0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5.75" thickBot="1" x14ac:dyDescent="0.3">
      <c r="B3" s="7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5" customHeight="1" thickBot="1" x14ac:dyDescent="0.3">
      <c r="A4" s="9"/>
      <c r="B4" s="134" t="s">
        <v>1</v>
      </c>
      <c r="C4" s="137" t="s">
        <v>2</v>
      </c>
      <c r="D4" s="130" t="s">
        <v>3</v>
      </c>
      <c r="E4" s="131"/>
      <c r="F4" s="131"/>
      <c r="G4" s="131"/>
      <c r="H4" s="131"/>
      <c r="I4" s="140"/>
      <c r="J4" s="140"/>
      <c r="K4" s="140"/>
      <c r="L4" s="140"/>
      <c r="M4" s="140"/>
      <c r="N4" s="131"/>
      <c r="O4" s="131"/>
      <c r="P4" s="131"/>
      <c r="Q4" s="131"/>
      <c r="R4" s="132"/>
    </row>
    <row r="5" spans="1:18" ht="15" customHeight="1" x14ac:dyDescent="0.25">
      <c r="A5" s="9"/>
      <c r="B5" s="135"/>
      <c r="C5" s="138"/>
      <c r="D5" s="128" t="s">
        <v>4</v>
      </c>
      <c r="E5" s="129"/>
      <c r="F5" s="129"/>
      <c r="G5" s="129"/>
      <c r="H5" s="129"/>
      <c r="I5" s="130" t="s">
        <v>5</v>
      </c>
      <c r="J5" s="131"/>
      <c r="K5" s="131"/>
      <c r="L5" s="131"/>
      <c r="M5" s="132"/>
      <c r="N5" s="129" t="s">
        <v>6</v>
      </c>
      <c r="O5" s="129"/>
      <c r="P5" s="129"/>
      <c r="Q5" s="129"/>
      <c r="R5" s="133"/>
    </row>
    <row r="6" spans="1:18" ht="15" customHeight="1" thickBot="1" x14ac:dyDescent="0.3">
      <c r="A6" s="9"/>
      <c r="B6" s="136"/>
      <c r="C6" s="139"/>
      <c r="D6" s="10" t="s">
        <v>7</v>
      </c>
      <c r="E6" s="11" t="s">
        <v>8</v>
      </c>
      <c r="F6" s="11" t="s">
        <v>9</v>
      </c>
      <c r="G6" s="11" t="s">
        <v>10</v>
      </c>
      <c r="H6" s="12" t="s">
        <v>11</v>
      </c>
      <c r="I6" s="10" t="s">
        <v>7</v>
      </c>
      <c r="J6" s="11" t="s">
        <v>8</v>
      </c>
      <c r="K6" s="11" t="s">
        <v>9</v>
      </c>
      <c r="L6" s="11" t="s">
        <v>10</v>
      </c>
      <c r="M6" s="109" t="s">
        <v>11</v>
      </c>
      <c r="N6" s="100" t="s">
        <v>7</v>
      </c>
      <c r="O6" s="11" t="s">
        <v>8</v>
      </c>
      <c r="P6" s="11" t="s">
        <v>9</v>
      </c>
      <c r="Q6" s="11" t="s">
        <v>10</v>
      </c>
      <c r="R6" s="109" t="s">
        <v>11</v>
      </c>
    </row>
    <row r="7" spans="1:18" x14ac:dyDescent="0.25">
      <c r="A7" s="13"/>
      <c r="B7" s="14" t="s">
        <v>12</v>
      </c>
      <c r="C7" s="15" t="s">
        <v>13</v>
      </c>
      <c r="D7" s="18">
        <f>ROUND(I7+N7,4)</f>
        <v>32812.713000000003</v>
      </c>
      <c r="E7" s="16">
        <f>ROUND(J7+O7,4)</f>
        <v>32812.713000000003</v>
      </c>
      <c r="F7" s="16">
        <f>ROUND(K7+P7,4)</f>
        <v>0</v>
      </c>
      <c r="G7" s="16">
        <f>ROUND(L7+Q7,4)</f>
        <v>32812.713000000003</v>
      </c>
      <c r="H7" s="17">
        <f>ROUND(M7+R7,4)</f>
        <v>30558.6486</v>
      </c>
      <c r="I7" s="18">
        <f>ROUND(I13+I14+I15+I16,4)</f>
        <v>16236.972</v>
      </c>
      <c r="J7" s="84">
        <f>ROUND(J13+J14+J15+J16,4)</f>
        <v>16236.972</v>
      </c>
      <c r="K7" s="84">
        <f>ROUND(K8+K13+K14+K15+K16,4)</f>
        <v>0</v>
      </c>
      <c r="L7" s="84">
        <f>ROUND(L8+L13+L14+L15+L16,4)</f>
        <v>16236.972</v>
      </c>
      <c r="M7" s="85">
        <f>ROUND(M8+M13+M14+M15+M16,4)</f>
        <v>15149.551799999999</v>
      </c>
      <c r="N7" s="101">
        <f>ROUND(N13+N14+N15+N16,4)</f>
        <v>16575.741000000002</v>
      </c>
      <c r="O7" s="84">
        <f>ROUND(O13+O14+O15+O16,4)</f>
        <v>16575.741000000002</v>
      </c>
      <c r="P7" s="84">
        <f>ROUND(P8+P13+P14+P15+P16,4)</f>
        <v>0</v>
      </c>
      <c r="Q7" s="84">
        <f>ROUND(Q8+Q13+Q14+Q15+Q16,4)</f>
        <v>16575.741000000002</v>
      </c>
      <c r="R7" s="85">
        <f>ROUND(R8+R13+R14+R15+R16,4)</f>
        <v>15409.096799999999</v>
      </c>
    </row>
    <row r="8" spans="1:18" x14ac:dyDescent="0.25">
      <c r="A8" s="19"/>
      <c r="B8" s="20" t="s">
        <v>14</v>
      </c>
      <c r="C8" s="21" t="s">
        <v>13</v>
      </c>
      <c r="D8" s="25" t="s">
        <v>15</v>
      </c>
      <c r="E8" s="22" t="s">
        <v>15</v>
      </c>
      <c r="F8" s="23">
        <f>ROUND(K8+P8,4)</f>
        <v>0</v>
      </c>
      <c r="G8" s="23">
        <f>ROUND(L8+Q8,4)</f>
        <v>32812.713000000003</v>
      </c>
      <c r="H8" s="24">
        <f>ROUND(M8+R8,4)</f>
        <v>30558.6486</v>
      </c>
      <c r="I8" s="25" t="s">
        <v>15</v>
      </c>
      <c r="J8" s="86" t="s">
        <v>15</v>
      </c>
      <c r="K8" s="87">
        <f>ROUND(K10,4)</f>
        <v>0</v>
      </c>
      <c r="L8" s="87">
        <f>ROUND(L10+L11,4)</f>
        <v>16236.972</v>
      </c>
      <c r="M8" s="88">
        <f>ROUND(M10+M11+M12,4)</f>
        <v>15149.551799999999</v>
      </c>
      <c r="N8" s="102" t="s">
        <v>15</v>
      </c>
      <c r="O8" s="86" t="s">
        <v>15</v>
      </c>
      <c r="P8" s="87">
        <f>ROUND(P10,4)</f>
        <v>0</v>
      </c>
      <c r="Q8" s="87">
        <f>ROUND(Q10+Q11,4)</f>
        <v>16575.741000000002</v>
      </c>
      <c r="R8" s="88">
        <f>ROUND(R10+R11+R12,4)</f>
        <v>15409.096799999999</v>
      </c>
    </row>
    <row r="9" spans="1:18" x14ac:dyDescent="0.25">
      <c r="A9" s="19"/>
      <c r="B9" s="20" t="s">
        <v>16</v>
      </c>
      <c r="C9" s="21" t="s">
        <v>13</v>
      </c>
      <c r="D9" s="25" t="s">
        <v>15</v>
      </c>
      <c r="E9" s="22" t="s">
        <v>15</v>
      </c>
      <c r="F9" s="22" t="s">
        <v>15</v>
      </c>
      <c r="G9" s="22" t="s">
        <v>15</v>
      </c>
      <c r="H9" s="27" t="s">
        <v>15</v>
      </c>
      <c r="I9" s="25" t="s">
        <v>15</v>
      </c>
      <c r="J9" s="86" t="s">
        <v>15</v>
      </c>
      <c r="K9" s="86" t="s">
        <v>15</v>
      </c>
      <c r="L9" s="86" t="s">
        <v>15</v>
      </c>
      <c r="M9" s="89" t="s">
        <v>15</v>
      </c>
      <c r="N9" s="102" t="s">
        <v>15</v>
      </c>
      <c r="O9" s="86" t="s">
        <v>15</v>
      </c>
      <c r="P9" s="86" t="s">
        <v>15</v>
      </c>
      <c r="Q9" s="86" t="s">
        <v>15</v>
      </c>
      <c r="R9" s="89" t="s">
        <v>15</v>
      </c>
    </row>
    <row r="10" spans="1:18" x14ac:dyDescent="0.25">
      <c r="A10" s="28"/>
      <c r="B10" s="29" t="s">
        <v>8</v>
      </c>
      <c r="C10" s="30" t="s">
        <v>13</v>
      </c>
      <c r="D10" s="32" t="s">
        <v>15</v>
      </c>
      <c r="E10" s="31" t="s">
        <v>15</v>
      </c>
      <c r="F10" s="23">
        <f>ROUND(K10+P10,4)</f>
        <v>0</v>
      </c>
      <c r="G10" s="23">
        <f>ROUND(L10+Q10,4)</f>
        <v>32812.713000000003</v>
      </c>
      <c r="H10" s="24">
        <f>ROUND(M10+R10,4)</f>
        <v>0</v>
      </c>
      <c r="I10" s="32" t="s">
        <v>15</v>
      </c>
      <c r="J10" s="90" t="s">
        <v>15</v>
      </c>
      <c r="K10" s="91"/>
      <c r="L10" s="87">
        <f>ROUND(J7-J17-J19-J20-M10-K10,4)</f>
        <v>16236.972</v>
      </c>
      <c r="M10" s="110">
        <v>0</v>
      </c>
      <c r="N10" s="103" t="s">
        <v>15</v>
      </c>
      <c r="O10" s="90" t="s">
        <v>15</v>
      </c>
      <c r="P10" s="91"/>
      <c r="Q10" s="87">
        <f>ROUND(O7-O17-O19-O20-R10-P10,4)</f>
        <v>16575.741000000002</v>
      </c>
      <c r="R10" s="110">
        <v>0</v>
      </c>
    </row>
    <row r="11" spans="1:18" x14ac:dyDescent="0.25">
      <c r="A11" s="28"/>
      <c r="B11" s="29" t="s">
        <v>9</v>
      </c>
      <c r="C11" s="30" t="s">
        <v>13</v>
      </c>
      <c r="D11" s="32" t="s">
        <v>15</v>
      </c>
      <c r="E11" s="31" t="s">
        <v>15</v>
      </c>
      <c r="F11" s="22" t="s">
        <v>15</v>
      </c>
      <c r="G11" s="23">
        <f>ROUND(L11+Q11,4)</f>
        <v>0</v>
      </c>
      <c r="H11" s="24">
        <f>ROUND(M11+R11,4)</f>
        <v>0</v>
      </c>
      <c r="I11" s="32" t="s">
        <v>15</v>
      </c>
      <c r="J11" s="90" t="s">
        <v>15</v>
      </c>
      <c r="K11" s="90" t="s">
        <v>15</v>
      </c>
      <c r="L11" s="87">
        <f>ROUND(K7-K17-K19-K20-M11,4)</f>
        <v>0</v>
      </c>
      <c r="M11" s="110">
        <v>0</v>
      </c>
      <c r="N11" s="103" t="s">
        <v>15</v>
      </c>
      <c r="O11" s="90" t="s">
        <v>15</v>
      </c>
      <c r="P11" s="90" t="s">
        <v>15</v>
      </c>
      <c r="Q11" s="87">
        <f>ROUND(P7-P17-P19-P20-R11,4)</f>
        <v>0</v>
      </c>
      <c r="R11" s="110">
        <v>0</v>
      </c>
    </row>
    <row r="12" spans="1:18" x14ac:dyDescent="0.25">
      <c r="A12" s="28"/>
      <c r="B12" s="29" t="s">
        <v>10</v>
      </c>
      <c r="C12" s="30" t="s">
        <v>13</v>
      </c>
      <c r="D12" s="32" t="s">
        <v>15</v>
      </c>
      <c r="E12" s="31" t="s">
        <v>15</v>
      </c>
      <c r="F12" s="31" t="s">
        <v>15</v>
      </c>
      <c r="G12" s="31" t="s">
        <v>15</v>
      </c>
      <c r="H12" s="24">
        <f t="shared" ref="H12:H17" si="0">ROUND(M12+R12,4)</f>
        <v>30558.6486</v>
      </c>
      <c r="I12" s="32" t="s">
        <v>15</v>
      </c>
      <c r="J12" s="90" t="s">
        <v>15</v>
      </c>
      <c r="K12" s="90" t="s">
        <v>15</v>
      </c>
      <c r="L12" s="90" t="s">
        <v>15</v>
      </c>
      <c r="M12" s="88">
        <f>ROUND(L7-L17-L19-L20,4)</f>
        <v>15149.551799999999</v>
      </c>
      <c r="N12" s="103" t="s">
        <v>15</v>
      </c>
      <c r="O12" s="90" t="s">
        <v>15</v>
      </c>
      <c r="P12" s="90" t="s">
        <v>15</v>
      </c>
      <c r="Q12" s="90" t="s">
        <v>15</v>
      </c>
      <c r="R12" s="88">
        <f>ROUND(Q7-Q17-Q19-Q20,4)</f>
        <v>15409.096799999999</v>
      </c>
    </row>
    <row r="13" spans="1:18" ht="19.5" customHeight="1" x14ac:dyDescent="0.25">
      <c r="A13" s="28"/>
      <c r="B13" s="29" t="s">
        <v>17</v>
      </c>
      <c r="C13" s="30" t="s">
        <v>13</v>
      </c>
      <c r="D13" s="82">
        <f t="shared" ref="D13:G17" si="1">ROUND(I13+N13,4)</f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4">
        <f t="shared" si="0"/>
        <v>0</v>
      </c>
      <c r="I13" s="33">
        <f>ROUND(SUM(J13:M13),4)</f>
        <v>0</v>
      </c>
      <c r="J13" s="91"/>
      <c r="K13" s="91"/>
      <c r="L13" s="91"/>
      <c r="M13" s="110"/>
      <c r="N13" s="104">
        <f>ROUND(SUM(O13:R13),4)</f>
        <v>0</v>
      </c>
      <c r="O13" s="91"/>
      <c r="P13" s="91"/>
      <c r="Q13" s="91"/>
      <c r="R13" s="110"/>
    </row>
    <row r="14" spans="1:18" x14ac:dyDescent="0.25">
      <c r="A14" s="28"/>
      <c r="B14" s="29" t="s">
        <v>18</v>
      </c>
      <c r="C14" s="30" t="s">
        <v>13</v>
      </c>
      <c r="D14" s="82">
        <f t="shared" si="1"/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4">
        <f t="shared" si="0"/>
        <v>0</v>
      </c>
      <c r="I14" s="33">
        <f>ROUND(SUM(J14:M14),4)</f>
        <v>0</v>
      </c>
      <c r="J14" s="91"/>
      <c r="K14" s="91"/>
      <c r="L14" s="91"/>
      <c r="M14" s="110"/>
      <c r="N14" s="104">
        <f>ROUND(SUM(O14:R14),4)</f>
        <v>0</v>
      </c>
      <c r="O14" s="91"/>
      <c r="P14" s="91"/>
      <c r="Q14" s="91"/>
      <c r="R14" s="110"/>
    </row>
    <row r="15" spans="1:18" x14ac:dyDescent="0.25">
      <c r="A15" s="28"/>
      <c r="B15" s="29" t="s">
        <v>19</v>
      </c>
      <c r="C15" s="30" t="s">
        <v>13</v>
      </c>
      <c r="D15" s="82">
        <f t="shared" si="1"/>
        <v>32812.713000000003</v>
      </c>
      <c r="E15" s="23">
        <f t="shared" si="1"/>
        <v>32812.713000000003</v>
      </c>
      <c r="F15" s="23">
        <f t="shared" si="1"/>
        <v>0</v>
      </c>
      <c r="G15" s="23">
        <f t="shared" si="1"/>
        <v>0</v>
      </c>
      <c r="H15" s="24">
        <f t="shared" si="0"/>
        <v>0</v>
      </c>
      <c r="I15" s="33">
        <f>ROUND(SUM(J15:M15),4)</f>
        <v>16236.972</v>
      </c>
      <c r="J15" s="91">
        <v>16236.972</v>
      </c>
      <c r="K15" s="91"/>
      <c r="L15" s="91"/>
      <c r="M15" s="110"/>
      <c r="N15" s="104">
        <f>ROUND(SUM(O15:R15),4)</f>
        <v>16575.741000000002</v>
      </c>
      <c r="O15" s="91">
        <v>16575.741000000002</v>
      </c>
      <c r="P15" s="91"/>
      <c r="Q15" s="91"/>
      <c r="R15" s="110"/>
    </row>
    <row r="16" spans="1:18" ht="25.5" x14ac:dyDescent="0.25">
      <c r="A16" s="28"/>
      <c r="B16" s="29" t="s">
        <v>20</v>
      </c>
      <c r="C16" s="30" t="s">
        <v>13</v>
      </c>
      <c r="D16" s="82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  <c r="H16" s="24">
        <f t="shared" si="0"/>
        <v>0</v>
      </c>
      <c r="I16" s="33">
        <f>ROUND(SUM(J16:M16),4)</f>
        <v>0</v>
      </c>
      <c r="J16" s="91"/>
      <c r="K16" s="91"/>
      <c r="L16" s="91"/>
      <c r="M16" s="110"/>
      <c r="N16" s="104">
        <f>ROUND(SUM(O16:R16),4)</f>
        <v>0</v>
      </c>
      <c r="O16" s="91"/>
      <c r="P16" s="91"/>
      <c r="Q16" s="91"/>
      <c r="R16" s="110"/>
    </row>
    <row r="17" spans="1:18" x14ac:dyDescent="0.25">
      <c r="A17" s="34"/>
      <c r="B17" s="127" t="s">
        <v>21</v>
      </c>
      <c r="C17" s="35" t="s">
        <v>13</v>
      </c>
      <c r="D17" s="33">
        <f t="shared" si="1"/>
        <v>382.79899999999998</v>
      </c>
      <c r="E17" s="26">
        <f t="shared" si="1"/>
        <v>0</v>
      </c>
      <c r="F17" s="26">
        <f t="shared" si="1"/>
        <v>0</v>
      </c>
      <c r="G17" s="26">
        <f t="shared" si="1"/>
        <v>2024.5444</v>
      </c>
      <c r="H17" s="36">
        <f t="shared" si="0"/>
        <v>-1641.7454</v>
      </c>
      <c r="I17" s="33">
        <f>SUM(J17:M17)</f>
        <v>-120.23899999999992</v>
      </c>
      <c r="J17" s="91"/>
      <c r="K17" s="91"/>
      <c r="L17" s="91">
        <v>1001.8212</v>
      </c>
      <c r="M17" s="110">
        <v>-1122.0601999999999</v>
      </c>
      <c r="N17" s="104">
        <f>SUM(O17:R17)</f>
        <v>503.03800000000001</v>
      </c>
      <c r="O17" s="91"/>
      <c r="P17" s="91"/>
      <c r="Q17" s="91">
        <v>1022.7232197000001</v>
      </c>
      <c r="R17" s="110">
        <v>-519.68521970000006</v>
      </c>
    </row>
    <row r="18" spans="1:18" s="41" customFormat="1" x14ac:dyDescent="0.25">
      <c r="A18" s="37"/>
      <c r="B18" s="127"/>
      <c r="C18" s="38" t="s">
        <v>22</v>
      </c>
      <c r="D18" s="114">
        <f>ROUND(IFERROR(D17/D7*100,0),4)</f>
        <v>1.1666000000000001</v>
      </c>
      <c r="E18" s="39">
        <f>ROUND(IFERROR(E17/E7*100,0),4)</f>
        <v>0</v>
      </c>
      <c r="F18" s="39">
        <f>ROUND(IFERROR(F17/F7*100,0),4)</f>
        <v>0</v>
      </c>
      <c r="G18" s="39">
        <f>ROUND(IFERROR(G17/G7*100,0),4)</f>
        <v>6.17</v>
      </c>
      <c r="H18" s="40">
        <f>ROUND(IFERROR(H17/H7*100,0),4)</f>
        <v>-5.3723999999999998</v>
      </c>
      <c r="I18" s="33">
        <f>I17/I7*100</f>
        <v>-0.74052600447915973</v>
      </c>
      <c r="J18" s="87">
        <f t="shared" ref="J18:R18" si="2">ROUND(IF(J7=0,0,J17/J7*100),4)</f>
        <v>0</v>
      </c>
      <c r="K18" s="87">
        <f t="shared" si="2"/>
        <v>0</v>
      </c>
      <c r="L18" s="87">
        <f t="shared" si="2"/>
        <v>6.17</v>
      </c>
      <c r="M18" s="88">
        <f t="shared" si="2"/>
        <v>-7.4066000000000001</v>
      </c>
      <c r="N18" s="104">
        <f>N17/N7*100</f>
        <v>3.0347843876180254</v>
      </c>
      <c r="O18" s="87">
        <f t="shared" si="2"/>
        <v>0</v>
      </c>
      <c r="P18" s="87">
        <f t="shared" si="2"/>
        <v>0</v>
      </c>
      <c r="Q18" s="87">
        <f t="shared" si="2"/>
        <v>6.17</v>
      </c>
      <c r="R18" s="88">
        <f t="shared" si="2"/>
        <v>-3.3725999999999998</v>
      </c>
    </row>
    <row r="19" spans="1:18" ht="30" customHeight="1" x14ac:dyDescent="0.25">
      <c r="A19" s="42"/>
      <c r="B19" s="43" t="s">
        <v>23</v>
      </c>
      <c r="C19" s="44" t="s">
        <v>13</v>
      </c>
      <c r="D19" s="33">
        <f t="shared" ref="D19:H23" si="3">ROUND(I19+N19,4)</f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  <c r="H19" s="36">
        <f t="shared" si="3"/>
        <v>0</v>
      </c>
      <c r="I19" s="33">
        <f>ROUND(SUM(J19:M19),4)</f>
        <v>0</v>
      </c>
      <c r="J19" s="91">
        <v>0</v>
      </c>
      <c r="K19" s="91">
        <v>0</v>
      </c>
      <c r="L19" s="91">
        <v>0</v>
      </c>
      <c r="M19" s="110">
        <v>0</v>
      </c>
      <c r="N19" s="104">
        <f>ROUND(SUM(O19:R19),4)</f>
        <v>0</v>
      </c>
      <c r="O19" s="91"/>
      <c r="P19" s="91"/>
      <c r="Q19" s="91"/>
      <c r="R19" s="110"/>
    </row>
    <row r="20" spans="1:18" s="51" customFormat="1" ht="25.5" customHeight="1" x14ac:dyDescent="0.25">
      <c r="A20" s="45"/>
      <c r="B20" s="46" t="s">
        <v>24</v>
      </c>
      <c r="C20" s="47" t="s">
        <v>13</v>
      </c>
      <c r="D20" s="50">
        <f t="shared" si="3"/>
        <v>32429.914000000001</v>
      </c>
      <c r="E20" s="48">
        <f t="shared" si="3"/>
        <v>0</v>
      </c>
      <c r="F20" s="48">
        <f t="shared" si="3"/>
        <v>0</v>
      </c>
      <c r="G20" s="48">
        <f t="shared" si="3"/>
        <v>229.52</v>
      </c>
      <c r="H20" s="49">
        <f t="shared" si="3"/>
        <v>32200.394</v>
      </c>
      <c r="I20" s="50">
        <f>I7-I17-I19</f>
        <v>16357.210999999999</v>
      </c>
      <c r="J20" s="92">
        <f>ROUND(J21+J22+J23,4)</f>
        <v>0</v>
      </c>
      <c r="K20" s="92">
        <f>ROUND(K21+K22+K23,4)</f>
        <v>0</v>
      </c>
      <c r="L20" s="92">
        <f>ROUND(L21+L22+L23,4)</f>
        <v>85.599000000000004</v>
      </c>
      <c r="M20" s="93">
        <f>ROUND(M21+M22+M23,4)</f>
        <v>16271.611999999999</v>
      </c>
      <c r="N20" s="105">
        <f>ROUND(SUM(O20:R20),4)</f>
        <v>16072.703</v>
      </c>
      <c r="O20" s="92">
        <f>ROUND(O21+O22+O23,4)</f>
        <v>0</v>
      </c>
      <c r="P20" s="92">
        <f>ROUND(P21+P22+P23,4)</f>
        <v>0</v>
      </c>
      <c r="Q20" s="92">
        <f>ROUND(Q21+Q22+Q23,4)</f>
        <v>143.92099999999999</v>
      </c>
      <c r="R20" s="93">
        <f>ROUND(R21+R22+R23,4)</f>
        <v>15928.781999999999</v>
      </c>
    </row>
    <row r="21" spans="1:18" s="51" customFormat="1" ht="30" customHeight="1" x14ac:dyDescent="0.25">
      <c r="A21" s="52"/>
      <c r="B21" s="53" t="s">
        <v>28</v>
      </c>
      <c r="C21" s="54" t="s">
        <v>13</v>
      </c>
      <c r="D21" s="111">
        <f t="shared" si="3"/>
        <v>32429.914000000001</v>
      </c>
      <c r="E21" s="55">
        <f t="shared" si="3"/>
        <v>0</v>
      </c>
      <c r="F21" s="55">
        <f t="shared" si="3"/>
        <v>0</v>
      </c>
      <c r="G21" s="55">
        <f t="shared" si="3"/>
        <v>229.52</v>
      </c>
      <c r="H21" s="56">
        <f t="shared" si="3"/>
        <v>32200.394</v>
      </c>
      <c r="I21" s="111">
        <f>SUM(J21:M21)</f>
        <v>16357.210999999999</v>
      </c>
      <c r="J21" s="94"/>
      <c r="K21" s="94"/>
      <c r="L21" s="94">
        <v>85.599000000000004</v>
      </c>
      <c r="M21" s="112">
        <f>M7-M17-M23-M22-M19</f>
        <v>16271.611999999999</v>
      </c>
      <c r="N21" s="105">
        <f>SUM(O21:R21)</f>
        <v>16072.703</v>
      </c>
      <c r="O21" s="94"/>
      <c r="P21" s="94"/>
      <c r="Q21" s="94">
        <v>143.92099999999999</v>
      </c>
      <c r="R21" s="115">
        <v>15928.781999999999</v>
      </c>
    </row>
    <row r="22" spans="1:18" ht="28.5" customHeight="1" thickBot="1" x14ac:dyDescent="0.3">
      <c r="A22" s="28"/>
      <c r="B22" s="57" t="s">
        <v>25</v>
      </c>
      <c r="C22" s="58" t="s">
        <v>13</v>
      </c>
      <c r="D22" s="116">
        <f t="shared" si="3"/>
        <v>0</v>
      </c>
      <c r="E22" s="59">
        <f t="shared" si="3"/>
        <v>0</v>
      </c>
      <c r="F22" s="59">
        <f t="shared" si="3"/>
        <v>0</v>
      </c>
      <c r="G22" s="59">
        <f t="shared" si="3"/>
        <v>0</v>
      </c>
      <c r="H22" s="60">
        <f t="shared" si="3"/>
        <v>0</v>
      </c>
      <c r="I22" s="61">
        <f>ROUND(SUM(J22:M22),4)</f>
        <v>0</v>
      </c>
      <c r="J22" s="95"/>
      <c r="K22" s="95"/>
      <c r="L22" s="95"/>
      <c r="M22" s="113"/>
      <c r="N22" s="106">
        <f>ROUND(SUM(O22:R22),4)</f>
        <v>0</v>
      </c>
      <c r="O22" s="95"/>
      <c r="P22" s="95"/>
      <c r="Q22" s="95"/>
      <c r="R22" s="113"/>
    </row>
    <row r="23" spans="1:18" ht="18" customHeight="1" thickBot="1" x14ac:dyDescent="0.3">
      <c r="A23" s="13"/>
      <c r="B23" s="62" t="s">
        <v>26</v>
      </c>
      <c r="C23" s="63" t="s">
        <v>13</v>
      </c>
      <c r="D23" s="66">
        <f t="shared" si="3"/>
        <v>0</v>
      </c>
      <c r="E23" s="64">
        <f t="shared" si="3"/>
        <v>0</v>
      </c>
      <c r="F23" s="64">
        <f t="shared" si="3"/>
        <v>0</v>
      </c>
      <c r="G23" s="64">
        <f t="shared" si="3"/>
        <v>0</v>
      </c>
      <c r="H23" s="65">
        <f t="shared" si="3"/>
        <v>0</v>
      </c>
      <c r="I23" s="66">
        <f>ROUND(SUM(J23:M23),4)</f>
        <v>0</v>
      </c>
      <c r="J23" s="96"/>
      <c r="K23" s="96"/>
      <c r="L23" s="96"/>
      <c r="M23" s="97"/>
      <c r="N23" s="107">
        <f>ROUND(SUM(O23:R23),4)</f>
        <v>0</v>
      </c>
      <c r="O23" s="96"/>
      <c r="P23" s="96"/>
      <c r="Q23" s="96"/>
      <c r="R23" s="97"/>
    </row>
    <row r="24" spans="1:18" ht="18" customHeight="1" thickBot="1" x14ac:dyDescent="0.3">
      <c r="A24" s="67"/>
      <c r="B24" s="68" t="s">
        <v>27</v>
      </c>
      <c r="C24" s="69"/>
      <c r="D24" s="72" t="s">
        <v>15</v>
      </c>
      <c r="E24" s="70">
        <f>ROUND(E7-E17-E19-E21-E22-E23-F10-G10-H10,4)</f>
        <v>0</v>
      </c>
      <c r="F24" s="70">
        <f>ROUND(F7-F17-F19-F21-F22-F23-G11-H11,4)</f>
        <v>0</v>
      </c>
      <c r="G24" s="70">
        <f>ROUND(G7-G17-G19-G21-G22-G23-H12,4)</f>
        <v>0</v>
      </c>
      <c r="H24" s="71">
        <f>ROUND(H7-H17-H19-H21-H22-H23,4)</f>
        <v>0</v>
      </c>
      <c r="I24" s="72" t="s">
        <v>15</v>
      </c>
      <c r="J24" s="98">
        <f>ROUND(J7-J17-J19-J21-J22-J23-K10-L10-M10,4)</f>
        <v>0</v>
      </c>
      <c r="K24" s="98">
        <f>ROUND(K7-K17-K19-K21-K22-K23-L11-M11,4)</f>
        <v>0</v>
      </c>
      <c r="L24" s="98">
        <f>ROUND(L7-L17-L19-L21-L22-L23-M12,4)</f>
        <v>0</v>
      </c>
      <c r="M24" s="99">
        <f>ROUND(M7-M17-M19-M21-M22-M23,4)</f>
        <v>0</v>
      </c>
      <c r="N24" s="108" t="s">
        <v>15</v>
      </c>
      <c r="O24" s="98">
        <f>ROUND(O7-O17-O19-O21-O22-O23-P10-Q10-R10,4)</f>
        <v>0</v>
      </c>
      <c r="P24" s="98">
        <f>ROUND(P7-P17-P19-P21-P22-P23-Q11-R11,4)</f>
        <v>0</v>
      </c>
      <c r="Q24" s="98">
        <f>ROUND(Q7-Q17-Q19-Q21-Q22-Q23-R12,4)</f>
        <v>0</v>
      </c>
      <c r="R24" s="99">
        <f>ROUND(R7-R17-R19-R21-R22-R23,4)</f>
        <v>0</v>
      </c>
    </row>
    <row r="25" spans="1:18" ht="18" customHeight="1" x14ac:dyDescent="0.25">
      <c r="A25" s="73"/>
      <c r="B25" s="74"/>
      <c r="C25" s="75"/>
      <c r="D25" s="76"/>
      <c r="E25" s="77"/>
      <c r="F25" s="77"/>
      <c r="G25" s="77"/>
      <c r="H25" s="77"/>
      <c r="I25" s="76"/>
      <c r="J25" s="78"/>
      <c r="K25" s="78"/>
      <c r="L25" s="78"/>
      <c r="M25" s="78"/>
      <c r="N25" s="76"/>
      <c r="O25" s="78"/>
      <c r="P25" s="78"/>
      <c r="Q25" s="78"/>
      <c r="R25" s="78"/>
    </row>
  </sheetData>
  <sheetProtection formatColumns="0" formatRows="0"/>
  <mergeCells count="7">
    <mergeCell ref="B17:B18"/>
    <mergeCell ref="D5:H5"/>
    <mergeCell ref="I5:M5"/>
    <mergeCell ref="N5:R5"/>
    <mergeCell ref="B4:B6"/>
    <mergeCell ref="C4:C6"/>
    <mergeCell ref="D4:R4"/>
  </mergeCells>
  <pageMargins left="0.39370078740157483" right="3.937007874015748E-2" top="0.19685039370078741" bottom="3.937007874015748E-2" header="0" footer="0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5"/>
  <sheetViews>
    <sheetView tabSelected="1" zoomScale="70" zoomScaleNormal="70" zoomScaleSheetLayoutView="100" workbookViewId="0">
      <selection activeCell="T17" sqref="T17"/>
    </sheetView>
  </sheetViews>
  <sheetFormatPr defaultColWidth="15.7109375" defaultRowHeight="15" x14ac:dyDescent="0.25"/>
  <cols>
    <col min="1" max="1" width="7.28515625" style="1" customWidth="1"/>
    <col min="2" max="2" width="43.28515625" style="79" customWidth="1"/>
    <col min="3" max="3" width="18" style="80" customWidth="1"/>
    <col min="4" max="4" width="11.5703125" style="81" bestFit="1" customWidth="1"/>
    <col min="5" max="5" width="12.7109375" style="81" bestFit="1" customWidth="1"/>
    <col min="6" max="6" width="11.140625" style="81" bestFit="1" customWidth="1"/>
    <col min="7" max="7" width="11.5703125" style="81" bestFit="1" customWidth="1"/>
    <col min="8" max="8" width="12.28515625" style="81" customWidth="1"/>
    <col min="9" max="10" width="11.5703125" style="81" bestFit="1" customWidth="1"/>
    <col min="11" max="11" width="11.140625" style="81" bestFit="1" customWidth="1"/>
    <col min="12" max="12" width="13" style="81" customWidth="1"/>
    <col min="13" max="13" width="12.7109375" style="81" customWidth="1"/>
    <col min="14" max="15" width="11.5703125" style="81" bestFit="1" customWidth="1"/>
    <col min="16" max="16" width="11.140625" style="81" bestFit="1" customWidth="1"/>
    <col min="17" max="17" width="12.7109375" style="81" customWidth="1"/>
    <col min="18" max="18" width="12.28515625" style="81" customWidth="1"/>
  </cols>
  <sheetData>
    <row r="1" spans="1:18" ht="12" customHeight="1" x14ac:dyDescent="0.25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117">
        <f>6900</f>
        <v>6900</v>
      </c>
      <c r="O1" s="4"/>
      <c r="P1" s="4"/>
      <c r="Q1" s="4"/>
      <c r="R1" s="4"/>
    </row>
    <row r="2" spans="1:18" ht="18.75" customHeight="1" x14ac:dyDescent="0.3">
      <c r="B2" s="83" t="s">
        <v>0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5.75" thickBot="1" x14ac:dyDescent="0.3">
      <c r="B3" s="7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15" customHeight="1" thickBot="1" x14ac:dyDescent="0.3">
      <c r="A4" s="9"/>
      <c r="B4" s="134" t="s">
        <v>1</v>
      </c>
      <c r="C4" s="137" t="s">
        <v>2</v>
      </c>
      <c r="D4" s="141" t="s">
        <v>29</v>
      </c>
      <c r="E4" s="142"/>
      <c r="F4" s="142"/>
      <c r="G4" s="142"/>
      <c r="H4" s="142"/>
      <c r="I4" s="143"/>
      <c r="J4" s="143"/>
      <c r="K4" s="143"/>
      <c r="L4" s="143"/>
      <c r="M4" s="143"/>
      <c r="N4" s="142"/>
      <c r="O4" s="142"/>
      <c r="P4" s="142"/>
      <c r="Q4" s="142"/>
      <c r="R4" s="144"/>
    </row>
    <row r="5" spans="1:18" ht="15" customHeight="1" x14ac:dyDescent="0.25">
      <c r="A5" s="9"/>
      <c r="B5" s="135"/>
      <c r="C5" s="138"/>
      <c r="D5" s="128" t="s">
        <v>4</v>
      </c>
      <c r="E5" s="129"/>
      <c r="F5" s="129"/>
      <c r="G5" s="129"/>
      <c r="H5" s="129"/>
      <c r="I5" s="130" t="s">
        <v>5</v>
      </c>
      <c r="J5" s="131"/>
      <c r="K5" s="131"/>
      <c r="L5" s="131"/>
      <c r="M5" s="132"/>
      <c r="N5" s="129" t="s">
        <v>6</v>
      </c>
      <c r="O5" s="129"/>
      <c r="P5" s="129"/>
      <c r="Q5" s="129"/>
      <c r="R5" s="133"/>
    </row>
    <row r="6" spans="1:18" ht="15" customHeight="1" thickBot="1" x14ac:dyDescent="0.3">
      <c r="A6" s="9"/>
      <c r="B6" s="136"/>
      <c r="C6" s="139"/>
      <c r="D6" s="10" t="s">
        <v>7</v>
      </c>
      <c r="E6" s="11" t="s">
        <v>8</v>
      </c>
      <c r="F6" s="11" t="s">
        <v>9</v>
      </c>
      <c r="G6" s="11" t="s">
        <v>10</v>
      </c>
      <c r="H6" s="12" t="s">
        <v>11</v>
      </c>
      <c r="I6" s="10" t="s">
        <v>7</v>
      </c>
      <c r="J6" s="11" t="s">
        <v>8</v>
      </c>
      <c r="K6" s="11" t="s">
        <v>9</v>
      </c>
      <c r="L6" s="11" t="s">
        <v>10</v>
      </c>
      <c r="M6" s="109" t="s">
        <v>11</v>
      </c>
      <c r="N6" s="100" t="s">
        <v>7</v>
      </c>
      <c r="O6" s="11" t="s">
        <v>8</v>
      </c>
      <c r="P6" s="11" t="s">
        <v>9</v>
      </c>
      <c r="Q6" s="11" t="s">
        <v>10</v>
      </c>
      <c r="R6" s="109" t="s">
        <v>11</v>
      </c>
    </row>
    <row r="7" spans="1:18" x14ac:dyDescent="0.25">
      <c r="A7" s="13"/>
      <c r="B7" s="14" t="s">
        <v>12</v>
      </c>
      <c r="C7" s="15" t="s">
        <v>13</v>
      </c>
      <c r="D7" s="18">
        <f>ROUND(I7+N7,4)</f>
        <v>95186.849000000002</v>
      </c>
      <c r="E7" s="16">
        <f>ROUND(J7+O7,4)</f>
        <v>69309.365999999995</v>
      </c>
      <c r="F7" s="16">
        <f>ROUND(K7+P7,4)</f>
        <v>0</v>
      </c>
      <c r="G7" s="16">
        <f>ROUND(L7+Q7,4)</f>
        <v>95186.849000000002</v>
      </c>
      <c r="H7" s="17">
        <f>ROUND(M7+R7,4)</f>
        <v>71843.111999999994</v>
      </c>
      <c r="I7" s="18">
        <f>ROUND(I13+I14+I15+I16,4)</f>
        <v>46747.932999999997</v>
      </c>
      <c r="J7" s="84">
        <f>ROUND(J13+J14+J15+J16,4)</f>
        <v>35313.963000000003</v>
      </c>
      <c r="K7" s="84">
        <f>ROUND(K8+K13+K14+K15+K16,4)</f>
        <v>0</v>
      </c>
      <c r="L7" s="84">
        <f>ROUND(L8+L13+L14+L15+L16,4)</f>
        <v>46747.932999999997</v>
      </c>
      <c r="M7" s="85">
        <f>ROUND(M8+M13+M14+M15+M16,4)</f>
        <v>31683.725999999999</v>
      </c>
      <c r="N7" s="101">
        <f>ROUND(N13+N14+N15+N16,4)</f>
        <v>48438.915999999997</v>
      </c>
      <c r="O7" s="84">
        <f>ROUND(O13+O14+O15+O16,4)</f>
        <v>33995.402999999998</v>
      </c>
      <c r="P7" s="84">
        <f>ROUND(P8+P13+P14+P15+P16,4)</f>
        <v>0</v>
      </c>
      <c r="Q7" s="84">
        <f>ROUND(Q8+Q13+Q14+Q15+Q16,4)</f>
        <v>48438.915999999997</v>
      </c>
      <c r="R7" s="85">
        <f>ROUND(R8+R13+R14+R15+R16,4)</f>
        <v>40159.385999999999</v>
      </c>
    </row>
    <row r="8" spans="1:18" x14ac:dyDescent="0.25">
      <c r="A8" s="19"/>
      <c r="B8" s="20" t="s">
        <v>14</v>
      </c>
      <c r="C8" s="21" t="s">
        <v>13</v>
      </c>
      <c r="D8" s="25" t="s">
        <v>15</v>
      </c>
      <c r="E8" s="22" t="s">
        <v>15</v>
      </c>
      <c r="F8" s="23">
        <f>ROUND(K8+P8,4)</f>
        <v>0</v>
      </c>
      <c r="G8" s="23">
        <f>ROUND(L8+Q8,4)</f>
        <v>69309.365999999995</v>
      </c>
      <c r="H8" s="24">
        <f>ROUND(M8+R8,4)</f>
        <v>71843.111999999994</v>
      </c>
      <c r="I8" s="25" t="s">
        <v>15</v>
      </c>
      <c r="J8" s="86" t="s">
        <v>15</v>
      </c>
      <c r="K8" s="87">
        <f>ROUND(K10,4)</f>
        <v>0</v>
      </c>
      <c r="L8" s="87">
        <f>ROUND(L10+L11,4)</f>
        <v>35313.963000000003</v>
      </c>
      <c r="M8" s="88">
        <f>ROUND(M10+M11+M12,4)</f>
        <v>31683.725999999999</v>
      </c>
      <c r="N8" s="102" t="s">
        <v>15</v>
      </c>
      <c r="O8" s="86" t="s">
        <v>15</v>
      </c>
      <c r="P8" s="87">
        <f>ROUND(P10,4)</f>
        <v>0</v>
      </c>
      <c r="Q8" s="87">
        <f>ROUND(Q10+Q11,4)</f>
        <v>33995.402999999998</v>
      </c>
      <c r="R8" s="88">
        <f>ROUND(R10+R11+R12,4)</f>
        <v>40159.385999999999</v>
      </c>
    </row>
    <row r="9" spans="1:18" x14ac:dyDescent="0.25">
      <c r="A9" s="19"/>
      <c r="B9" s="20" t="s">
        <v>16</v>
      </c>
      <c r="C9" s="21" t="s">
        <v>13</v>
      </c>
      <c r="D9" s="25" t="s">
        <v>15</v>
      </c>
      <c r="E9" s="22" t="s">
        <v>15</v>
      </c>
      <c r="F9" s="22" t="s">
        <v>15</v>
      </c>
      <c r="G9" s="22" t="s">
        <v>15</v>
      </c>
      <c r="H9" s="27" t="s">
        <v>15</v>
      </c>
      <c r="I9" s="25" t="s">
        <v>15</v>
      </c>
      <c r="J9" s="86" t="s">
        <v>15</v>
      </c>
      <c r="K9" s="86" t="s">
        <v>15</v>
      </c>
      <c r="L9" s="86" t="s">
        <v>15</v>
      </c>
      <c r="M9" s="89" t="s">
        <v>15</v>
      </c>
      <c r="N9" s="102" t="s">
        <v>15</v>
      </c>
      <c r="O9" s="86" t="s">
        <v>15</v>
      </c>
      <c r="P9" s="86" t="s">
        <v>15</v>
      </c>
      <c r="Q9" s="86" t="s">
        <v>15</v>
      </c>
      <c r="R9" s="89" t="s">
        <v>15</v>
      </c>
    </row>
    <row r="10" spans="1:18" x14ac:dyDescent="0.25">
      <c r="A10" s="28"/>
      <c r="B10" s="29" t="s">
        <v>8</v>
      </c>
      <c r="C10" s="30" t="s">
        <v>13</v>
      </c>
      <c r="D10" s="32" t="s">
        <v>15</v>
      </c>
      <c r="E10" s="31" t="s">
        <v>15</v>
      </c>
      <c r="F10" s="23">
        <f>ROUND(K10+P10,4)</f>
        <v>0</v>
      </c>
      <c r="G10" s="23">
        <f>ROUND(L10+Q10,4)</f>
        <v>69309.365999999995</v>
      </c>
      <c r="H10" s="24">
        <f>ROUND(M10+R10,4)</f>
        <v>0</v>
      </c>
      <c r="I10" s="32" t="s">
        <v>15</v>
      </c>
      <c r="J10" s="90" t="s">
        <v>15</v>
      </c>
      <c r="K10" s="91"/>
      <c r="L10" s="87">
        <f>ROUND(J7-J17-J19-J20-M10-K10,4)</f>
        <v>35313.963000000003</v>
      </c>
      <c r="M10" s="110">
        <v>0</v>
      </c>
      <c r="N10" s="103" t="s">
        <v>15</v>
      </c>
      <c r="O10" s="90" t="s">
        <v>15</v>
      </c>
      <c r="P10" s="91"/>
      <c r="Q10" s="87">
        <f>ROUND(O7-O17-O19-O20-R10-P10,4)</f>
        <v>33995.402999999998</v>
      </c>
      <c r="R10" s="110">
        <v>0</v>
      </c>
    </row>
    <row r="11" spans="1:18" x14ac:dyDescent="0.25">
      <c r="A11" s="28"/>
      <c r="B11" s="29" t="s">
        <v>9</v>
      </c>
      <c r="C11" s="30" t="s">
        <v>13</v>
      </c>
      <c r="D11" s="32" t="s">
        <v>15</v>
      </c>
      <c r="E11" s="31" t="s">
        <v>15</v>
      </c>
      <c r="F11" s="22" t="s">
        <v>15</v>
      </c>
      <c r="G11" s="23">
        <f>ROUND(L11+Q11,4)</f>
        <v>0</v>
      </c>
      <c r="H11" s="24">
        <f>ROUND(M11+R11,4)</f>
        <v>0</v>
      </c>
      <c r="I11" s="32" t="s">
        <v>15</v>
      </c>
      <c r="J11" s="90" t="s">
        <v>15</v>
      </c>
      <c r="K11" s="90" t="s">
        <v>15</v>
      </c>
      <c r="L11" s="87">
        <f>ROUND(K7-K17-K19-K20-M11,4)</f>
        <v>0</v>
      </c>
      <c r="M11" s="110">
        <v>0</v>
      </c>
      <c r="N11" s="103" t="s">
        <v>15</v>
      </c>
      <c r="O11" s="90" t="s">
        <v>15</v>
      </c>
      <c r="P11" s="90" t="s">
        <v>15</v>
      </c>
      <c r="Q11" s="87">
        <f>ROUND(P7-P17-P19-P20-R11,4)</f>
        <v>0</v>
      </c>
      <c r="R11" s="110">
        <v>0</v>
      </c>
    </row>
    <row r="12" spans="1:18" x14ac:dyDescent="0.25">
      <c r="A12" s="28"/>
      <c r="B12" s="29" t="s">
        <v>10</v>
      </c>
      <c r="C12" s="30" t="s">
        <v>13</v>
      </c>
      <c r="D12" s="32" t="s">
        <v>15</v>
      </c>
      <c r="E12" s="31" t="s">
        <v>15</v>
      </c>
      <c r="F12" s="31" t="s">
        <v>15</v>
      </c>
      <c r="G12" s="31" t="s">
        <v>15</v>
      </c>
      <c r="H12" s="24">
        <f t="shared" ref="H12:H17" si="0">ROUND(M12+R12,4)</f>
        <v>71843.111999999994</v>
      </c>
      <c r="I12" s="32" t="s">
        <v>15</v>
      </c>
      <c r="J12" s="124" t="s">
        <v>15</v>
      </c>
      <c r="K12" s="124" t="s">
        <v>15</v>
      </c>
      <c r="L12" s="124" t="s">
        <v>15</v>
      </c>
      <c r="M12" s="125">
        <f>ROUND(L7-L17-L19-L20,4)</f>
        <v>31683.725999999999</v>
      </c>
      <c r="N12" s="103" t="s">
        <v>15</v>
      </c>
      <c r="O12" s="90" t="s">
        <v>15</v>
      </c>
      <c r="P12" s="90" t="s">
        <v>15</v>
      </c>
      <c r="Q12" s="90" t="s">
        <v>15</v>
      </c>
      <c r="R12" s="88">
        <f>ROUND(Q7-Q17-Q19-Q20,4)</f>
        <v>40159.385999999999</v>
      </c>
    </row>
    <row r="13" spans="1:18" ht="19.5" customHeight="1" x14ac:dyDescent="0.25">
      <c r="A13" s="28"/>
      <c r="B13" s="29" t="s">
        <v>17</v>
      </c>
      <c r="C13" s="30" t="s">
        <v>13</v>
      </c>
      <c r="D13" s="82">
        <f t="shared" ref="D13:G17" si="1">ROUND(I13+N13,4)</f>
        <v>24737.75</v>
      </c>
      <c r="E13" s="23">
        <f t="shared" si="1"/>
        <v>24737.75</v>
      </c>
      <c r="F13" s="23">
        <f t="shared" si="1"/>
        <v>0</v>
      </c>
      <c r="G13" s="23">
        <f t="shared" si="1"/>
        <v>0</v>
      </c>
      <c r="H13" s="24">
        <f t="shared" si="0"/>
        <v>0</v>
      </c>
      <c r="I13" s="33">
        <f>ROUND(SUM(J13:M13),4)</f>
        <v>11996.289000000001</v>
      </c>
      <c r="J13" s="118">
        <f>2160.448+2133.698+2246.389+1968.515+1821.019+1666.22</f>
        <v>11996.288999999999</v>
      </c>
      <c r="K13" s="118"/>
      <c r="L13" s="118"/>
      <c r="M13" s="119"/>
      <c r="N13" s="104">
        <f>ROUND(SUM(O13:R13),4)</f>
        <v>12741.460999999999</v>
      </c>
      <c r="O13" s="118">
        <f>1746.419+1755.602+1895.115+2166.852+2433.264+2744.209</f>
        <v>12741.460999999999</v>
      </c>
      <c r="P13" s="118"/>
      <c r="Q13" s="118"/>
      <c r="R13" s="119"/>
    </row>
    <row r="14" spans="1:18" x14ac:dyDescent="0.25">
      <c r="A14" s="28"/>
      <c r="B14" s="29" t="s">
        <v>18</v>
      </c>
      <c r="C14" s="30" t="s">
        <v>13</v>
      </c>
      <c r="D14" s="82">
        <f t="shared" si="1"/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4">
        <f t="shared" si="0"/>
        <v>0</v>
      </c>
      <c r="I14" s="33">
        <f>ROUND(SUM(J14:M14),4)</f>
        <v>0</v>
      </c>
      <c r="J14" s="118"/>
      <c r="K14" s="118"/>
      <c r="L14" s="118"/>
      <c r="M14" s="119"/>
      <c r="N14" s="104">
        <f>ROUND(SUM(O14:R14),4)</f>
        <v>0</v>
      </c>
      <c r="O14" s="118"/>
      <c r="P14" s="118"/>
      <c r="Q14" s="118"/>
      <c r="R14" s="119"/>
    </row>
    <row r="15" spans="1:18" x14ac:dyDescent="0.25">
      <c r="A15" s="28"/>
      <c r="B15" s="29" t="s">
        <v>19</v>
      </c>
      <c r="C15" s="30" t="s">
        <v>13</v>
      </c>
      <c r="D15" s="82">
        <f t="shared" si="1"/>
        <v>45683.798999999999</v>
      </c>
      <c r="E15" s="23">
        <f t="shared" si="1"/>
        <v>44571.616000000002</v>
      </c>
      <c r="F15" s="23">
        <f t="shared" si="1"/>
        <v>0</v>
      </c>
      <c r="G15" s="23">
        <f t="shared" si="1"/>
        <v>1112.183</v>
      </c>
      <c r="H15" s="24">
        <f t="shared" si="0"/>
        <v>0</v>
      </c>
      <c r="I15" s="33">
        <f>ROUND(SUM(J15:M15),4)</f>
        <v>23317.673999999999</v>
      </c>
      <c r="J15" s="118">
        <f>4595.994+4486.36+4352.105+3675.5+3312.166+2895.549</f>
        <v>23317.673999999999</v>
      </c>
      <c r="K15" s="118"/>
      <c r="L15" s="118"/>
      <c r="M15" s="119"/>
      <c r="N15" s="104">
        <f>ROUND(SUM(O15:R15),4)</f>
        <v>22366.125</v>
      </c>
      <c r="O15" s="118">
        <f>2758.739+2901.793+3136.382+3648.718+4055.92+4752.39</f>
        <v>21253.942000000003</v>
      </c>
      <c r="P15" s="118"/>
      <c r="Q15" s="118">
        <f>745.546+366.637</f>
        <v>1112.183</v>
      </c>
      <c r="R15" s="119"/>
    </row>
    <row r="16" spans="1:18" ht="25.5" x14ac:dyDescent="0.25">
      <c r="A16" s="28"/>
      <c r="B16" s="29" t="s">
        <v>20</v>
      </c>
      <c r="C16" s="30" t="s">
        <v>13</v>
      </c>
      <c r="D16" s="82">
        <f t="shared" si="1"/>
        <v>24765.3</v>
      </c>
      <c r="E16" s="23">
        <f t="shared" si="1"/>
        <v>0</v>
      </c>
      <c r="F16" s="23">
        <f t="shared" si="1"/>
        <v>0</v>
      </c>
      <c r="G16" s="23">
        <f t="shared" si="1"/>
        <v>24765.3</v>
      </c>
      <c r="H16" s="24">
        <f t="shared" si="0"/>
        <v>0</v>
      </c>
      <c r="I16" s="33">
        <f>ROUND(SUM(J16:M16),4)</f>
        <v>11433.97</v>
      </c>
      <c r="J16" s="118"/>
      <c r="K16" s="118"/>
      <c r="L16" s="118">
        <f>1402.686+724.816+1380.744+733.974+1354.2+722.451+648.586+1190.07+594.383+1136.22+517.818+1028.022</f>
        <v>11433.969999999998</v>
      </c>
      <c r="M16" s="119"/>
      <c r="N16" s="104">
        <f>ROUND(SUM(O16:R16),4)</f>
        <v>13331.33</v>
      </c>
      <c r="O16" s="118"/>
      <c r="P16" s="118"/>
      <c r="Q16" s="118">
        <f>526.563+1154.97+513.663+1176.564+615.729+1230.252+784.286+1440.894+1077.268+1555.074+1588.379+1667.688</f>
        <v>13331.33</v>
      </c>
      <c r="R16" s="119"/>
    </row>
    <row r="17" spans="1:18" x14ac:dyDescent="0.25">
      <c r="A17" s="34"/>
      <c r="B17" s="127" t="s">
        <v>21</v>
      </c>
      <c r="C17" s="35" t="s">
        <v>13</v>
      </c>
      <c r="D17" s="33">
        <f t="shared" si="1"/>
        <v>12396.843999999999</v>
      </c>
      <c r="E17" s="26">
        <f t="shared" si="1"/>
        <v>0</v>
      </c>
      <c r="F17" s="26">
        <f t="shared" si="1"/>
        <v>0</v>
      </c>
      <c r="G17" s="26">
        <f t="shared" si="1"/>
        <v>5739.4229999999998</v>
      </c>
      <c r="H17" s="36">
        <f t="shared" si="0"/>
        <v>6657.4210000000003</v>
      </c>
      <c r="I17" s="33">
        <f>SUM(J17:M17)</f>
        <v>1961.0700000000002</v>
      </c>
      <c r="J17" s="118"/>
      <c r="K17" s="118"/>
      <c r="L17" s="118">
        <f>1092.55+416.872+1073.602+178.548+200+(-5)</f>
        <v>2956.5720000000001</v>
      </c>
      <c r="M17" s="119">
        <f>(-423.652)+(-299.096)+(-687.757)+112.26+310.833+(-8.09)</f>
        <v>-995.50200000000007</v>
      </c>
      <c r="N17" s="104">
        <f>SUM(O17:R17)</f>
        <v>10435.773999999999</v>
      </c>
      <c r="O17" s="118"/>
      <c r="P17" s="118"/>
      <c r="Q17" s="118">
        <f>245.452+459.028+548.174+643.578+250.338+636.281</f>
        <v>2782.8510000000001</v>
      </c>
      <c r="R17" s="119">
        <f>397.141+742.706+886.943+1041.305+2202.154+2382.674</f>
        <v>7652.9229999999998</v>
      </c>
    </row>
    <row r="18" spans="1:18" s="41" customFormat="1" x14ac:dyDescent="0.25">
      <c r="A18" s="37"/>
      <c r="B18" s="127"/>
      <c r="C18" s="38" t="s">
        <v>22</v>
      </c>
      <c r="D18" s="114">
        <f>ROUND(IFERROR(D17/D7*100,0),4)</f>
        <v>13.0237</v>
      </c>
      <c r="E18" s="39">
        <f>ROUND(IFERROR(E17/E7*100,0),4)</f>
        <v>0</v>
      </c>
      <c r="F18" s="39">
        <f>ROUND(IFERROR(F17/F7*100,0),4)</f>
        <v>0</v>
      </c>
      <c r="G18" s="39">
        <f>ROUND(IFERROR(G17/G7*100,0),4)</f>
        <v>6.0296000000000003</v>
      </c>
      <c r="H18" s="40">
        <f>ROUND(IFERROR(H17/H7*100,0),4)</f>
        <v>9.2666000000000004</v>
      </c>
      <c r="I18" s="33">
        <f>I17/I7*100</f>
        <v>4.1949876158160837</v>
      </c>
      <c r="J18" s="87">
        <f t="shared" ref="J18:R18" si="2">ROUND(IF(J7=0,0,J17/J7*100),4)</f>
        <v>0</v>
      </c>
      <c r="K18" s="87">
        <f t="shared" si="2"/>
        <v>0</v>
      </c>
      <c r="L18" s="87">
        <f t="shared" si="2"/>
        <v>6.3244999999999996</v>
      </c>
      <c r="M18" s="88">
        <f t="shared" si="2"/>
        <v>-3.1419999999999999</v>
      </c>
      <c r="N18" s="104">
        <f>N17/N7*100</f>
        <v>21.544193928699809</v>
      </c>
      <c r="O18" s="87">
        <f t="shared" si="2"/>
        <v>0</v>
      </c>
      <c r="P18" s="87">
        <f t="shared" si="2"/>
        <v>0</v>
      </c>
      <c r="Q18" s="87">
        <f t="shared" si="2"/>
        <v>5.7450999999999999</v>
      </c>
      <c r="R18" s="88">
        <f t="shared" si="2"/>
        <v>19.0564</v>
      </c>
    </row>
    <row r="19" spans="1:18" ht="30" customHeight="1" x14ac:dyDescent="0.25">
      <c r="A19" s="42"/>
      <c r="B19" s="43" t="s">
        <v>23</v>
      </c>
      <c r="C19" s="44" t="s">
        <v>13</v>
      </c>
      <c r="D19" s="33">
        <f t="shared" ref="D19:H23" si="3">ROUND(I19+N19,4)</f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  <c r="H19" s="36">
        <f t="shared" si="3"/>
        <v>0</v>
      </c>
      <c r="I19" s="33">
        <f>ROUND(SUM(J19:M19),4)</f>
        <v>0</v>
      </c>
      <c r="J19" s="91">
        <v>0</v>
      </c>
      <c r="K19" s="91">
        <v>0</v>
      </c>
      <c r="L19" s="91">
        <v>0</v>
      </c>
      <c r="M19" s="110">
        <v>0</v>
      </c>
      <c r="N19" s="104">
        <f>ROUND(SUM(O19:R19),4)</f>
        <v>0</v>
      </c>
      <c r="O19" s="91"/>
      <c r="P19" s="91"/>
      <c r="Q19" s="91"/>
      <c r="R19" s="110"/>
    </row>
    <row r="20" spans="1:18" s="51" customFormat="1" ht="25.5" customHeight="1" x14ac:dyDescent="0.25">
      <c r="A20" s="45"/>
      <c r="B20" s="46" t="s">
        <v>24</v>
      </c>
      <c r="C20" s="47" t="s">
        <v>13</v>
      </c>
      <c r="D20" s="50">
        <f t="shared" si="3"/>
        <v>82790.005000000005</v>
      </c>
      <c r="E20" s="48">
        <f t="shared" si="3"/>
        <v>0</v>
      </c>
      <c r="F20" s="48">
        <f t="shared" si="3"/>
        <v>0</v>
      </c>
      <c r="G20" s="48">
        <f t="shared" si="3"/>
        <v>17604.313999999998</v>
      </c>
      <c r="H20" s="49">
        <f t="shared" si="3"/>
        <v>65185.690999999999</v>
      </c>
      <c r="I20" s="50">
        <f>I7-I17-I19</f>
        <v>44786.862999999998</v>
      </c>
      <c r="J20" s="92">
        <f>ROUND(J21+J22+J23,4)</f>
        <v>0</v>
      </c>
      <c r="K20" s="92">
        <f>ROUND(K21+K22+K23,4)</f>
        <v>0</v>
      </c>
      <c r="L20" s="92">
        <f>ROUND(L21+L22+L23,4)</f>
        <v>12107.635</v>
      </c>
      <c r="M20" s="93">
        <f>ROUND(M21+M22+M23,4)</f>
        <v>32679.227999999999</v>
      </c>
      <c r="N20" s="105">
        <f>ROUND(SUM(O20:R20),4)</f>
        <v>38003.142</v>
      </c>
      <c r="O20" s="92">
        <f>ROUND(O21+O22+O23,4)</f>
        <v>0</v>
      </c>
      <c r="P20" s="92">
        <f>ROUND(P21+P22+P23,4)</f>
        <v>0</v>
      </c>
      <c r="Q20" s="92">
        <f>ROUND(Q21+Q22+Q23,4)</f>
        <v>5496.6790000000001</v>
      </c>
      <c r="R20" s="93">
        <f>ROUND(R21+R22+R23,4)</f>
        <v>32506.463</v>
      </c>
    </row>
    <row r="21" spans="1:18" s="51" customFormat="1" ht="30" customHeight="1" x14ac:dyDescent="0.25">
      <c r="A21" s="52"/>
      <c r="B21" s="53" t="s">
        <v>28</v>
      </c>
      <c r="C21" s="54" t="s">
        <v>13</v>
      </c>
      <c r="D21" s="111">
        <f t="shared" si="3"/>
        <v>82790.005000000005</v>
      </c>
      <c r="E21" s="55">
        <f t="shared" si="3"/>
        <v>0</v>
      </c>
      <c r="F21" s="55">
        <f t="shared" si="3"/>
        <v>0</v>
      </c>
      <c r="G21" s="55">
        <f t="shared" si="3"/>
        <v>17604.313999999998</v>
      </c>
      <c r="H21" s="56">
        <f t="shared" si="3"/>
        <v>65185.690999999999</v>
      </c>
      <c r="I21" s="111">
        <f>SUM(J21:M21)</f>
        <v>44786.862999999998</v>
      </c>
      <c r="J21" s="120"/>
      <c r="K21" s="120"/>
      <c r="L21" s="120">
        <f>2436.312+2494.208+2824.882+1760.118+1415.651+1176.464</f>
        <v>12107.635</v>
      </c>
      <c r="M21" s="126">
        <f>M7-M17-M23-M22-M19</f>
        <v>32679.227999999999</v>
      </c>
      <c r="N21" s="105">
        <f>SUM(O21:R21)</f>
        <v>38003.142</v>
      </c>
      <c r="O21" s="94"/>
      <c r="P21" s="94"/>
      <c r="Q21" s="120">
        <f>819.454+579.983+660.515+972.64+756.842+1707.245</f>
        <v>5496.6790000000001</v>
      </c>
      <c r="R21" s="121">
        <f>1620.447+1681.454+1667.226+1873.828+2575.241+2429.906+3104.197+2884.451+3114.62+3509.399+4082.497+3963.197</f>
        <v>32506.463</v>
      </c>
    </row>
    <row r="22" spans="1:18" ht="28.5" customHeight="1" thickBot="1" x14ac:dyDescent="0.3">
      <c r="A22" s="28"/>
      <c r="B22" s="57" t="s">
        <v>25</v>
      </c>
      <c r="C22" s="58" t="s">
        <v>13</v>
      </c>
      <c r="D22" s="116">
        <f t="shared" si="3"/>
        <v>0</v>
      </c>
      <c r="E22" s="59">
        <f t="shared" si="3"/>
        <v>0</v>
      </c>
      <c r="F22" s="59">
        <f t="shared" si="3"/>
        <v>0</v>
      </c>
      <c r="G22" s="59">
        <f t="shared" si="3"/>
        <v>0</v>
      </c>
      <c r="H22" s="60">
        <f t="shared" si="3"/>
        <v>0</v>
      </c>
      <c r="I22" s="61">
        <f>ROUND(SUM(J22:M22),4)</f>
        <v>0</v>
      </c>
      <c r="J22" s="122"/>
      <c r="K22" s="122"/>
      <c r="L22" s="122"/>
      <c r="M22" s="123"/>
      <c r="N22" s="106">
        <f>ROUND(SUM(O22:R22),4)</f>
        <v>0</v>
      </c>
      <c r="O22" s="95"/>
      <c r="P22" s="95"/>
      <c r="Q22" s="122"/>
      <c r="R22" s="123"/>
    </row>
    <row r="23" spans="1:18" ht="18" customHeight="1" thickBot="1" x14ac:dyDescent="0.3">
      <c r="A23" s="13"/>
      <c r="B23" s="62" t="s">
        <v>26</v>
      </c>
      <c r="C23" s="63" t="s">
        <v>13</v>
      </c>
      <c r="D23" s="66">
        <f t="shared" si="3"/>
        <v>0</v>
      </c>
      <c r="E23" s="64">
        <f t="shared" si="3"/>
        <v>0</v>
      </c>
      <c r="F23" s="64">
        <f t="shared" si="3"/>
        <v>0</v>
      </c>
      <c r="G23" s="64">
        <f t="shared" si="3"/>
        <v>0</v>
      </c>
      <c r="H23" s="65">
        <f t="shared" si="3"/>
        <v>0</v>
      </c>
      <c r="I23" s="66">
        <f>ROUND(SUM(J23:M23),4)</f>
        <v>0</v>
      </c>
      <c r="J23" s="96"/>
      <c r="K23" s="96"/>
      <c r="L23" s="96"/>
      <c r="M23" s="97"/>
      <c r="N23" s="107">
        <f>ROUND(SUM(O23:R23),4)</f>
        <v>0</v>
      </c>
      <c r="O23" s="96"/>
      <c r="P23" s="96"/>
      <c r="Q23" s="96"/>
      <c r="R23" s="97"/>
    </row>
    <row r="24" spans="1:18" ht="18" customHeight="1" thickBot="1" x14ac:dyDescent="0.3">
      <c r="A24" s="67"/>
      <c r="B24" s="68" t="s">
        <v>27</v>
      </c>
      <c r="C24" s="69"/>
      <c r="D24" s="72" t="s">
        <v>15</v>
      </c>
      <c r="E24" s="70">
        <f>ROUND(E7-E17-E19-E21-E22-E23-F10-G10-H10,4)</f>
        <v>0</v>
      </c>
      <c r="F24" s="70">
        <f>ROUND(F7-F17-F19-F21-F22-F23-G11-H11,4)</f>
        <v>0</v>
      </c>
      <c r="G24" s="70">
        <f>ROUND(G7-G17-G19-G21-G22-G23-H12,4)</f>
        <v>0</v>
      </c>
      <c r="H24" s="71">
        <f>ROUND(H7-H17-H19-H21-H22-H23,4)</f>
        <v>0</v>
      </c>
      <c r="I24" s="72" t="s">
        <v>15</v>
      </c>
      <c r="J24" s="98">
        <f>ROUND(J7-J17-J19-J21-J22-J23-K10-L10-M10,4)</f>
        <v>0</v>
      </c>
      <c r="K24" s="98">
        <f>ROUND(K7-K17-K19-K21-K22-K23-L11-M11,4)</f>
        <v>0</v>
      </c>
      <c r="L24" s="98">
        <f>ROUND(L7-L17-L19-L21-L22-L23-M12,4)</f>
        <v>0</v>
      </c>
      <c r="M24" s="99">
        <f>ROUND(M7-M17-M19-M21-M22-M23,4)</f>
        <v>0</v>
      </c>
      <c r="N24" s="108" t="s">
        <v>15</v>
      </c>
      <c r="O24" s="98">
        <f>ROUND(O7-O17-O19-O21-O22-O23-P10-Q10-R10,4)</f>
        <v>0</v>
      </c>
      <c r="P24" s="98">
        <f>ROUND(P7-P17-P19-P21-P22-P23-Q11-R11,4)</f>
        <v>0</v>
      </c>
      <c r="Q24" s="98">
        <f>ROUND(Q7-Q17-Q19-Q21-Q22-Q23-R12,4)</f>
        <v>0</v>
      </c>
      <c r="R24" s="99">
        <f>ROUND(R7-R17-R19-R21-R22-R23,4)</f>
        <v>0</v>
      </c>
    </row>
    <row r="25" spans="1:18" ht="18" customHeight="1" x14ac:dyDescent="0.25">
      <c r="A25" s="73"/>
      <c r="B25" s="74"/>
      <c r="C25" s="75"/>
      <c r="D25" s="76"/>
      <c r="E25" s="77"/>
      <c r="F25" s="77"/>
      <c r="G25" s="77"/>
      <c r="H25" s="77"/>
      <c r="I25" s="76"/>
      <c r="J25" s="78"/>
      <c r="K25" s="78"/>
      <c r="L25" s="78"/>
      <c r="M25" s="78">
        <f>2016.739+1838.588+4284.204+3761.995+1804.02+3660.398+1599.564+3832.181+1519.991+3417.313+1577.65+3366.585</f>
        <v>32679.228000000003</v>
      </c>
      <c r="N25" s="76"/>
      <c r="O25" s="78"/>
      <c r="P25" s="78"/>
      <c r="Q25" s="78"/>
      <c r="R25" s="78"/>
    </row>
  </sheetData>
  <sheetProtection formatColumns="0" formatRows="0"/>
  <mergeCells count="7">
    <mergeCell ref="B17:B18"/>
    <mergeCell ref="B4:B6"/>
    <mergeCell ref="C4:C6"/>
    <mergeCell ref="D4:R4"/>
    <mergeCell ref="D5:H5"/>
    <mergeCell ref="I5:M5"/>
    <mergeCell ref="N5:R5"/>
  </mergeCells>
  <pageMargins left="0.39370078740157483" right="3.937007874015748E-2" top="0.19685039370078741" bottom="3.937007874015748E-2" header="0" footer="0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Баланс ЭЭ 2019 </vt:lpstr>
      <vt:lpstr>Баланс ЭЭ 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Гаплевская Диана Васильевна</dc:creator>
  <cp:lastModifiedBy>User</cp:lastModifiedBy>
  <cp:lastPrinted>2020-02-19T07:04:23Z</cp:lastPrinted>
  <dcterms:created xsi:type="dcterms:W3CDTF">2020-02-17T10:11:26Z</dcterms:created>
  <dcterms:modified xsi:type="dcterms:W3CDTF">2021-03-01T20:27:15Z</dcterms:modified>
</cp:coreProperties>
</file>